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firstSheet="1" activeTab="2"/>
  </bookViews>
  <sheets>
    <sheet name="Приложение 1" sheetId="5" state="hidden" r:id="rId1"/>
    <sheet name="Приложение 1 (2)" sheetId="10" r:id="rId2"/>
    <sheet name="Приложение 2 -ТЭО" sheetId="6" r:id="rId3"/>
    <sheet name="Приложение 3" sheetId="3" r:id="rId4"/>
    <sheet name="расчет" sheetId="9" state="hidden" r:id="rId5"/>
  </sheets>
  <definedNames>
    <definedName name="_xlnm._FilterDatabase" localSheetId="2" hidden="1">'Приложение 2 -ТЭО'!$A$4:$X$7</definedName>
    <definedName name="_xlnm.Print_Titles" localSheetId="2">'Приложение 2 -ТЭО'!$A:$D,'Приложение 2 -ТЭО'!$4:$8</definedName>
    <definedName name="_xlnm.Print_Titles" localSheetId="4">расчет!$4:$4</definedName>
    <definedName name="_xlnm.Print_Area" localSheetId="2">'Приложение 2 -ТЭО'!$A$1:$BB$170</definedName>
    <definedName name="_xlnm.Print_Area" localSheetId="3">'Приложение 3'!$A$1:$S$36</definedName>
    <definedName name="_xlnm.Print_Area" localSheetId="4">расчет!$A$1:$X$61</definedName>
  </definedNames>
  <calcPr calcId="162913"/>
</workbook>
</file>

<file path=xl/calcChain.xml><?xml version="1.0" encoding="utf-8"?>
<calcChain xmlns="http://schemas.openxmlformats.org/spreadsheetml/2006/main">
  <c r="AN93" i="6" l="1"/>
  <c r="AN94" i="6"/>
  <c r="L43" i="10" l="1"/>
  <c r="AQ121" i="6" l="1"/>
  <c r="AQ24" i="6"/>
  <c r="L70" i="10"/>
  <c r="L64" i="10"/>
  <c r="AQ120" i="6"/>
  <c r="BA150" i="6" l="1"/>
  <c r="AV150" i="6"/>
  <c r="AQ150" i="6"/>
  <c r="BA141" i="6"/>
  <c r="AV141" i="6"/>
  <c r="AQ141" i="6"/>
  <c r="AQ19" i="6"/>
  <c r="L69" i="10"/>
  <c r="L67" i="10"/>
  <c r="AQ123" i="6"/>
  <c r="AQ115" i="6"/>
  <c r="L68" i="10"/>
  <c r="AQ117" i="6"/>
  <c r="AQ119" i="6"/>
  <c r="L65" i="10"/>
  <c r="AQ105" i="6" l="1"/>
  <c r="BA26" i="6"/>
  <c r="AV26" i="6"/>
  <c r="AQ26" i="6"/>
  <c r="AQ131" i="6" l="1"/>
  <c r="BA142" i="6"/>
  <c r="AV142" i="6"/>
  <c r="AQ142" i="6"/>
  <c r="AQ97" i="6"/>
  <c r="AQ129" i="6" l="1"/>
  <c r="BA134" i="6" l="1"/>
  <c r="AV134" i="6" l="1"/>
  <c r="F111" i="6" l="1"/>
  <c r="G111" i="6"/>
  <c r="J111" i="6"/>
  <c r="M111" i="6"/>
  <c r="O111" i="6"/>
  <c r="R111" i="6"/>
  <c r="T111" i="6"/>
  <c r="W111" i="6"/>
  <c r="Y111" i="6"/>
  <c r="AB111" i="6"/>
  <c r="AD111" i="6"/>
  <c r="AG111" i="6"/>
  <c r="AI111" i="6"/>
  <c r="AL111" i="6"/>
  <c r="AQ134" i="6"/>
  <c r="K70" i="10" l="1"/>
  <c r="K69" i="10"/>
  <c r="K67" i="10"/>
  <c r="K65" i="10"/>
  <c r="K64" i="10"/>
  <c r="AQ140" i="6" l="1"/>
  <c r="M9" i="6"/>
  <c r="R9" i="6"/>
  <c r="W9" i="6"/>
  <c r="AB9" i="6"/>
  <c r="AG9" i="6"/>
  <c r="AL9" i="6"/>
  <c r="H11" i="3" l="1"/>
  <c r="I11" i="3"/>
  <c r="K11" i="3"/>
  <c r="L11" i="3"/>
  <c r="N11" i="3"/>
  <c r="O11" i="3"/>
  <c r="BA27" i="6" l="1"/>
  <c r="AV27" i="6"/>
  <c r="AQ27" i="6"/>
  <c r="BA12" i="6"/>
  <c r="AV12" i="6"/>
  <c r="BA13" i="6"/>
  <c r="AV13" i="6"/>
  <c r="BA93" i="6"/>
  <c r="AV93" i="6"/>
  <c r="BA138" i="6" l="1"/>
  <c r="AV138" i="6"/>
  <c r="AQ138" i="6"/>
  <c r="BA149" i="6"/>
  <c r="AV149" i="6"/>
  <c r="AQ149" i="6"/>
  <c r="BA148" i="6"/>
  <c r="AV148" i="6"/>
  <c r="AQ148" i="6"/>
  <c r="BA147" i="6"/>
  <c r="AV147" i="6"/>
  <c r="AQ147" i="6"/>
  <c r="BA146" i="6"/>
  <c r="AV146" i="6"/>
  <c r="AQ146" i="6"/>
  <c r="BA145" i="6"/>
  <c r="AV145" i="6"/>
  <c r="AQ145" i="6"/>
  <c r="BA144" i="6"/>
  <c r="AV144" i="6"/>
  <c r="AQ144" i="6"/>
  <c r="BA143" i="6"/>
  <c r="AV143" i="6"/>
  <c r="AQ143" i="6"/>
  <c r="BA140" i="6"/>
  <c r="AV140" i="6"/>
  <c r="BA139" i="6"/>
  <c r="AV139" i="6"/>
  <c r="AQ139" i="6"/>
  <c r="BA137" i="6"/>
  <c r="AV137" i="6"/>
  <c r="AQ137" i="6"/>
  <c r="BA136" i="6"/>
  <c r="AV136" i="6"/>
  <c r="AQ136" i="6"/>
  <c r="BA135" i="6"/>
  <c r="AV135" i="6"/>
  <c r="AQ135" i="6"/>
  <c r="BA133" i="6"/>
  <c r="AV133" i="6"/>
  <c r="AQ133" i="6"/>
  <c r="AL103" i="6" l="1"/>
  <c r="AL102" i="6"/>
  <c r="AL16" i="6"/>
  <c r="AL12" i="6"/>
  <c r="AQ103" i="6" l="1"/>
  <c r="BA96" i="6"/>
  <c r="AV96" i="6"/>
  <c r="AQ96" i="6"/>
  <c r="AX170" i="6" l="1"/>
  <c r="AS170" i="6"/>
  <c r="AX169" i="6"/>
  <c r="AS169" i="6"/>
  <c r="AQ169" i="6"/>
  <c r="AX168" i="6"/>
  <c r="AS168" i="6"/>
  <c r="AQ168" i="6"/>
  <c r="AX167" i="6"/>
  <c r="AS167" i="6"/>
  <c r="AQ167" i="6"/>
  <c r="AX166" i="6"/>
  <c r="AS166" i="6"/>
  <c r="AX165" i="6"/>
  <c r="AV165" i="6"/>
  <c r="AS165" i="6" s="1"/>
  <c r="AX164" i="6"/>
  <c r="AS164" i="6"/>
  <c r="AQ164" i="6"/>
  <c r="AX163" i="6"/>
  <c r="AS163" i="6"/>
  <c r="AQ163" i="6"/>
  <c r="AX162" i="6"/>
  <c r="AS162" i="6"/>
  <c r="AQ162" i="6"/>
  <c r="AX161" i="6"/>
  <c r="AS161" i="6"/>
  <c r="AX160" i="6"/>
  <c r="AS160" i="6"/>
  <c r="AQ160" i="6"/>
  <c r="AX159" i="6"/>
  <c r="AV159" i="6"/>
  <c r="AS159" i="6"/>
  <c r="AX158" i="6"/>
  <c r="AS158" i="6"/>
  <c r="AQ158" i="6"/>
  <c r="AX157" i="6"/>
  <c r="AS157" i="6"/>
  <c r="AX156" i="6"/>
  <c r="AS156" i="6"/>
  <c r="AX155" i="6"/>
  <c r="AX151" i="6" s="1"/>
  <c r="AV155" i="6"/>
  <c r="AS155" i="6" s="1"/>
  <c r="AX154" i="6"/>
  <c r="AS154" i="6"/>
  <c r="AX153" i="6"/>
  <c r="AS153" i="6"/>
  <c r="AX152" i="6"/>
  <c r="AS152" i="6"/>
  <c r="BB151" i="6"/>
  <c r="BA151" i="6"/>
  <c r="AZ151" i="6"/>
  <c r="AY151" i="6"/>
  <c r="AW151" i="6"/>
  <c r="AV151" i="6"/>
  <c r="AU151" i="6"/>
  <c r="AT151" i="6"/>
  <c r="AR151" i="6"/>
  <c r="AQ151" i="6"/>
  <c r="AX150" i="6"/>
  <c r="AS150" i="6"/>
  <c r="AX149" i="6"/>
  <c r="AS149" i="6"/>
  <c r="AX148" i="6"/>
  <c r="AS148" i="6"/>
  <c r="AX147" i="6"/>
  <c r="AS147" i="6"/>
  <c r="AX146" i="6"/>
  <c r="AS146" i="6"/>
  <c r="AX145" i="6"/>
  <c r="AS145" i="6"/>
  <c r="AX144" i="6"/>
  <c r="AS144" i="6"/>
  <c r="AX143" i="6"/>
  <c r="AS143" i="6"/>
  <c r="AX142" i="6"/>
  <c r="AS142" i="6"/>
  <c r="AX141" i="6"/>
  <c r="AS141" i="6"/>
  <c r="AX140" i="6"/>
  <c r="AS140" i="6"/>
  <c r="AX139" i="6"/>
  <c r="AS139" i="6"/>
  <c r="AX138" i="6"/>
  <c r="AS138" i="6"/>
  <c r="AX137" i="6"/>
  <c r="AS137" i="6"/>
  <c r="AX136" i="6"/>
  <c r="AS136" i="6"/>
  <c r="AX135" i="6"/>
  <c r="AS135" i="6"/>
  <c r="AX134" i="6"/>
  <c r="AS134" i="6"/>
  <c r="AX133" i="6"/>
  <c r="AS133" i="6"/>
  <c r="BB132" i="6"/>
  <c r="BA132" i="6"/>
  <c r="BA111" i="6" s="1"/>
  <c r="AZ132" i="6"/>
  <c r="AY132" i="6"/>
  <c r="AW132" i="6"/>
  <c r="AV132" i="6"/>
  <c r="AV111" i="6" s="1"/>
  <c r="AU132" i="6"/>
  <c r="AT132" i="6"/>
  <c r="AR132" i="6"/>
  <c r="AQ132" i="6"/>
  <c r="AX131" i="6"/>
  <c r="AS131" i="6"/>
  <c r="AX130" i="6"/>
  <c r="AS130" i="6"/>
  <c r="AX129" i="6"/>
  <c r="AS129" i="6"/>
  <c r="AX128" i="6"/>
  <c r="AS128" i="6"/>
  <c r="AX127" i="6"/>
  <c r="AS127" i="6"/>
  <c r="AX126" i="6"/>
  <c r="AS126" i="6"/>
  <c r="AX125" i="6"/>
  <c r="AS125" i="6"/>
  <c r="AX124" i="6"/>
  <c r="AS124" i="6"/>
  <c r="AX123" i="6"/>
  <c r="AS123" i="6"/>
  <c r="AX122" i="6"/>
  <c r="AS122" i="6"/>
  <c r="AX121" i="6"/>
  <c r="AS121" i="6"/>
  <c r="AX120" i="6"/>
  <c r="AS120" i="6"/>
  <c r="AX119" i="6"/>
  <c r="AS119" i="6"/>
  <c r="AX118" i="6"/>
  <c r="AS118" i="6"/>
  <c r="AX117" i="6"/>
  <c r="AS117" i="6"/>
  <c r="AX116" i="6"/>
  <c r="AX112" i="6" s="1"/>
  <c r="AS116" i="6"/>
  <c r="AX115" i="6"/>
  <c r="AS115" i="6"/>
  <c r="AX114" i="6"/>
  <c r="AS114" i="6"/>
  <c r="AX113" i="6"/>
  <c r="AS113" i="6"/>
  <c r="BB112" i="6"/>
  <c r="BA112" i="6"/>
  <c r="AZ112" i="6"/>
  <c r="AY112" i="6"/>
  <c r="AW112" i="6"/>
  <c r="AV112" i="6"/>
  <c r="AU112" i="6"/>
  <c r="AT112" i="6"/>
  <c r="AR112" i="6"/>
  <c r="AQ112" i="6"/>
  <c r="AQ111" i="6" l="1"/>
  <c r="H111" i="6" s="1"/>
  <c r="AX132" i="6"/>
  <c r="AX111" i="6" s="1"/>
  <c r="AS132" i="6"/>
  <c r="AS111" i="6" s="1"/>
  <c r="AS112" i="6"/>
  <c r="AS151" i="6"/>
  <c r="AL123" i="6" l="1"/>
  <c r="AL94" i="6"/>
  <c r="AL96" i="6"/>
  <c r="AL142" i="6"/>
  <c r="AL24" i="6"/>
  <c r="AL19" i="6" l="1"/>
  <c r="K65" i="5"/>
  <c r="AL130" i="6"/>
  <c r="K64" i="5"/>
  <c r="AL117" i="6"/>
  <c r="K70" i="5"/>
  <c r="K67" i="5"/>
  <c r="AL120" i="6"/>
  <c r="AL128" i="6"/>
  <c r="K69" i="5"/>
  <c r="AL127" i="6"/>
  <c r="AL118" i="6"/>
  <c r="AL121" i="6"/>
  <c r="AL27" i="6"/>
  <c r="AL21" i="6"/>
  <c r="AL166" i="6" l="1"/>
  <c r="AL165" i="6"/>
  <c r="AL163" i="6"/>
  <c r="AL157" i="6"/>
  <c r="AL156" i="6"/>
  <c r="AL154" i="6"/>
  <c r="AL153" i="6"/>
  <c r="AL152" i="6"/>
  <c r="AL150" i="6"/>
  <c r="AL140" i="6"/>
  <c r="AL136" i="6"/>
  <c r="AL116" i="6" l="1"/>
  <c r="AL133" i="6" l="1"/>
  <c r="AL131" i="6" l="1"/>
  <c r="AL119" i="6" l="1"/>
  <c r="AL115" i="6"/>
  <c r="AL114" i="6"/>
  <c r="AL93" i="6"/>
  <c r="AL13" i="6"/>
  <c r="AL17" i="6" l="1"/>
  <c r="AL97" i="6" l="1"/>
  <c r="AL160" i="6" l="1"/>
  <c r="AL125" i="6"/>
  <c r="AL11" i="6" l="1"/>
  <c r="AX13" i="6" l="1"/>
  <c r="AS13" i="6"/>
  <c r="AX12" i="6"/>
  <c r="AS12" i="6"/>
  <c r="AX19" i="6"/>
  <c r="AS19" i="6"/>
  <c r="AN19" i="6"/>
  <c r="AX18" i="6"/>
  <c r="AS18" i="6"/>
  <c r="AN18" i="6"/>
  <c r="AX17" i="6"/>
  <c r="AS17" i="6"/>
  <c r="AN17" i="6"/>
  <c r="AX16" i="6"/>
  <c r="AS16" i="6"/>
  <c r="AN16" i="6"/>
  <c r="AX24" i="6"/>
  <c r="AS24" i="6"/>
  <c r="AN24" i="6"/>
  <c r="AX23" i="6"/>
  <c r="AS23" i="6"/>
  <c r="AN23" i="6"/>
  <c r="AX22" i="6"/>
  <c r="AS22" i="6"/>
  <c r="AN22" i="6"/>
  <c r="AX21" i="6"/>
  <c r="AS21" i="6"/>
  <c r="AN21" i="6"/>
  <c r="AX29" i="6"/>
  <c r="AS29" i="6"/>
  <c r="AN29" i="6"/>
  <c r="AX28" i="6"/>
  <c r="AS28" i="6"/>
  <c r="AN28" i="6"/>
  <c r="AX27" i="6"/>
  <c r="AS27" i="6"/>
  <c r="AN27" i="6"/>
  <c r="AX26" i="6"/>
  <c r="AS26" i="6"/>
  <c r="AN26" i="6"/>
  <c r="AL26" i="6"/>
  <c r="AN170" i="6"/>
  <c r="AN169" i="6"/>
  <c r="AN168" i="6"/>
  <c r="AN167" i="6"/>
  <c r="AN166" i="6"/>
  <c r="AN165" i="6"/>
  <c r="AN164" i="6"/>
  <c r="AN163" i="6"/>
  <c r="AN162" i="6"/>
  <c r="AN161" i="6"/>
  <c r="AN160" i="6"/>
  <c r="AN159" i="6"/>
  <c r="AN158" i="6"/>
  <c r="AN157" i="6"/>
  <c r="AN156" i="6"/>
  <c r="AN155" i="6"/>
  <c r="AN154" i="6"/>
  <c r="AN153" i="6"/>
  <c r="AN152" i="6"/>
  <c r="AN150" i="6"/>
  <c r="AN149" i="6"/>
  <c r="AN148" i="6"/>
  <c r="AN147" i="6"/>
  <c r="AN146" i="6"/>
  <c r="AN145" i="6"/>
  <c r="AN144" i="6"/>
  <c r="AN143" i="6"/>
  <c r="AN142" i="6"/>
  <c r="AN141" i="6"/>
  <c r="AN140" i="6"/>
  <c r="AN139" i="6"/>
  <c r="AN138" i="6"/>
  <c r="AN137" i="6"/>
  <c r="AN136" i="6"/>
  <c r="AN135" i="6"/>
  <c r="AN134" i="6"/>
  <c r="AN133" i="6"/>
  <c r="AX94" i="6" l="1"/>
  <c r="AS94" i="6"/>
  <c r="AX93" i="6"/>
  <c r="AS93" i="6"/>
  <c r="AX100" i="6"/>
  <c r="AS100" i="6"/>
  <c r="AN100" i="6"/>
  <c r="AX99" i="6"/>
  <c r="AS99" i="6"/>
  <c r="AN99" i="6"/>
  <c r="AX98" i="6"/>
  <c r="AS98" i="6"/>
  <c r="AN98" i="6"/>
  <c r="AX97" i="6"/>
  <c r="AS97" i="6"/>
  <c r="AN97" i="6"/>
  <c r="AX96" i="6"/>
  <c r="AS96" i="6"/>
  <c r="AN96" i="6"/>
  <c r="AX110" i="6"/>
  <c r="AS110" i="6"/>
  <c r="AN110" i="6"/>
  <c r="AX109" i="6"/>
  <c r="AX106" i="6" s="1"/>
  <c r="AS109" i="6"/>
  <c r="AN109" i="6"/>
  <c r="AX108" i="6"/>
  <c r="AS108" i="6"/>
  <c r="AS106" i="6" s="1"/>
  <c r="AN108" i="6"/>
  <c r="AX107" i="6"/>
  <c r="AS107" i="6"/>
  <c r="AN107" i="6"/>
  <c r="AN106" i="6" s="1"/>
  <c r="BB106" i="6"/>
  <c r="BA106" i="6"/>
  <c r="AZ106" i="6"/>
  <c r="AY106" i="6"/>
  <c r="AW106" i="6"/>
  <c r="AV106" i="6"/>
  <c r="AU106" i="6"/>
  <c r="AT106" i="6"/>
  <c r="AR106" i="6"/>
  <c r="AQ106" i="6"/>
  <c r="AP106" i="6"/>
  <c r="AO106" i="6"/>
  <c r="AM106" i="6"/>
  <c r="AL106" i="6"/>
  <c r="AX105" i="6"/>
  <c r="AS105" i="6"/>
  <c r="AN105" i="6"/>
  <c r="AX104" i="6"/>
  <c r="AS104" i="6"/>
  <c r="AN104" i="6"/>
  <c r="AX103" i="6"/>
  <c r="AS103" i="6"/>
  <c r="AN103" i="6"/>
  <c r="AX102" i="6"/>
  <c r="AS102" i="6"/>
  <c r="AN102" i="6"/>
  <c r="AG137" i="6" l="1"/>
  <c r="AG122" i="6" l="1"/>
  <c r="AG131" i="6" l="1"/>
  <c r="AG116" i="6" l="1"/>
  <c r="AG102" i="6" l="1"/>
  <c r="AG103" i="6"/>
  <c r="AG105" i="6"/>
  <c r="AG98" i="6"/>
  <c r="AD74" i="6"/>
  <c r="H74" i="6"/>
  <c r="E74" i="6" s="1"/>
  <c r="AG81" i="6"/>
  <c r="AD73" i="6"/>
  <c r="H73" i="6"/>
  <c r="E73" i="6" s="1"/>
  <c r="AG32" i="6"/>
  <c r="AG37" i="6"/>
  <c r="AG12" i="6" l="1"/>
  <c r="AG147" i="6"/>
  <c r="F57" i="6" l="1"/>
  <c r="G57" i="6"/>
  <c r="I57" i="6"/>
  <c r="K57" i="6"/>
  <c r="L57" i="6"/>
  <c r="M57" i="6"/>
  <c r="N57" i="6"/>
  <c r="P57" i="6"/>
  <c r="Q57" i="6"/>
  <c r="R57" i="6"/>
  <c r="S57" i="6"/>
  <c r="U57" i="6"/>
  <c r="V57" i="6"/>
  <c r="X57" i="6"/>
  <c r="Z57" i="6"/>
  <c r="AA57" i="6"/>
  <c r="AB57" i="6"/>
  <c r="AC57" i="6"/>
  <c r="AE57" i="6"/>
  <c r="AF57" i="6"/>
  <c r="AG57" i="6"/>
  <c r="AH57" i="6"/>
  <c r="AJ57" i="6"/>
  <c r="AK57" i="6"/>
  <c r="AL57" i="6"/>
  <c r="AM57" i="6"/>
  <c r="AO57" i="6"/>
  <c r="AP57" i="6"/>
  <c r="AQ57" i="6"/>
  <c r="AR57" i="6"/>
  <c r="AT57" i="6"/>
  <c r="AU57" i="6"/>
  <c r="AV57" i="6"/>
  <c r="AW57" i="6"/>
  <c r="AY57" i="6"/>
  <c r="AZ57" i="6"/>
  <c r="BA57" i="6"/>
  <c r="BB57" i="6"/>
  <c r="AX67" i="6"/>
  <c r="AS67" i="6"/>
  <c r="AN67" i="6"/>
  <c r="AI67" i="6"/>
  <c r="AD67" i="6"/>
  <c r="Y67" i="6"/>
  <c r="T67" i="6"/>
  <c r="O67" i="6"/>
  <c r="J67" i="6"/>
  <c r="H67" i="6"/>
  <c r="E67" i="6" s="1"/>
  <c r="AG91" i="6"/>
  <c r="AG149" i="6" l="1"/>
  <c r="AG170" i="6" l="1"/>
  <c r="AG130" i="6"/>
  <c r="F87" i="6"/>
  <c r="G87" i="6"/>
  <c r="I87" i="6"/>
  <c r="K87" i="6"/>
  <c r="L87" i="6"/>
  <c r="M87" i="6"/>
  <c r="N87" i="6"/>
  <c r="P87" i="6"/>
  <c r="Q87" i="6"/>
  <c r="R87" i="6"/>
  <c r="S87" i="6"/>
  <c r="U87" i="6"/>
  <c r="V87" i="6"/>
  <c r="W87" i="6"/>
  <c r="X87" i="6"/>
  <c r="Z87" i="6"/>
  <c r="AA87" i="6"/>
  <c r="AB87" i="6"/>
  <c r="AC87" i="6"/>
  <c r="AE87" i="6"/>
  <c r="AF87" i="6"/>
  <c r="AG87" i="6"/>
  <c r="AH87" i="6"/>
  <c r="AJ87" i="6"/>
  <c r="AK87" i="6"/>
  <c r="AL87" i="6"/>
  <c r="AM87" i="6"/>
  <c r="AO87" i="6"/>
  <c r="AP87" i="6"/>
  <c r="AQ87" i="6"/>
  <c r="AR87" i="6"/>
  <c r="AT87" i="6"/>
  <c r="AU87" i="6"/>
  <c r="AV87" i="6"/>
  <c r="AW87" i="6"/>
  <c r="AY87" i="6"/>
  <c r="AZ87" i="6"/>
  <c r="BA87" i="6"/>
  <c r="BB87" i="6"/>
  <c r="BB68" i="6" s="1"/>
  <c r="AX88" i="6"/>
  <c r="AX87" i="6" s="1"/>
  <c r="AS88" i="6"/>
  <c r="AS87" i="6" s="1"/>
  <c r="AN88" i="6"/>
  <c r="AN87" i="6" s="1"/>
  <c r="AI88" i="6"/>
  <c r="AI87" i="6" s="1"/>
  <c r="AD88" i="6"/>
  <c r="AD87" i="6" s="1"/>
  <c r="Y88" i="6"/>
  <c r="Y87" i="6" s="1"/>
  <c r="T88" i="6"/>
  <c r="T87" i="6" s="1"/>
  <c r="O88" i="6"/>
  <c r="O87" i="6" s="1"/>
  <c r="J88" i="6"/>
  <c r="J87" i="6" s="1"/>
  <c r="H88" i="6"/>
  <c r="H87" i="6" s="1"/>
  <c r="E88" i="6"/>
  <c r="E87" i="6" s="1"/>
  <c r="I43" i="6" l="1"/>
  <c r="K43" i="6"/>
  <c r="L43" i="6"/>
  <c r="M43" i="6"/>
  <c r="N43" i="6"/>
  <c r="P43" i="6"/>
  <c r="Q43" i="6"/>
  <c r="S43" i="6"/>
  <c r="U43" i="6"/>
  <c r="V43" i="6"/>
  <c r="X43" i="6"/>
  <c r="Z43" i="6"/>
  <c r="AA43" i="6"/>
  <c r="AB43" i="6"/>
  <c r="AC43" i="6"/>
  <c r="AE43" i="6"/>
  <c r="AF43" i="6"/>
  <c r="AG43" i="6"/>
  <c r="AH43" i="6"/>
  <c r="AJ43" i="6"/>
  <c r="AK43" i="6"/>
  <c r="AL43" i="6"/>
  <c r="AM43" i="6"/>
  <c r="AO43" i="6"/>
  <c r="AP43" i="6"/>
  <c r="AQ43" i="6"/>
  <c r="AR43" i="6"/>
  <c r="AT43" i="6"/>
  <c r="AU43" i="6"/>
  <c r="AV43" i="6"/>
  <c r="AW43" i="6"/>
  <c r="AY43" i="6"/>
  <c r="AZ43" i="6"/>
  <c r="BA43" i="6"/>
  <c r="BB43" i="6"/>
  <c r="AX56" i="6"/>
  <c r="AS56" i="6"/>
  <c r="AN56" i="6"/>
  <c r="AI56" i="6"/>
  <c r="AD56" i="6"/>
  <c r="Y56" i="6"/>
  <c r="T56" i="6"/>
  <c r="O56" i="6"/>
  <c r="J56" i="6"/>
  <c r="H56" i="6"/>
  <c r="E56" i="6" s="1"/>
  <c r="AX66" i="6" l="1"/>
  <c r="AS66" i="6"/>
  <c r="AN66" i="6"/>
  <c r="AI66" i="6"/>
  <c r="AD66" i="6"/>
  <c r="Y66" i="6"/>
  <c r="T66" i="6"/>
  <c r="O66" i="6"/>
  <c r="J66" i="6"/>
  <c r="H66" i="6"/>
  <c r="E66" i="6"/>
  <c r="AG93" i="6" l="1"/>
  <c r="AG39" i="6" l="1"/>
  <c r="F89" i="6" l="1"/>
  <c r="G89" i="6"/>
  <c r="I89" i="6"/>
  <c r="K89" i="6"/>
  <c r="L89" i="6"/>
  <c r="M89" i="6"/>
  <c r="N89" i="6"/>
  <c r="P89" i="6"/>
  <c r="Q89" i="6"/>
  <c r="R89" i="6"/>
  <c r="S89" i="6"/>
  <c r="U89" i="6"/>
  <c r="V89" i="6"/>
  <c r="W89" i="6"/>
  <c r="X89" i="6"/>
  <c r="Z89" i="6"/>
  <c r="AA89" i="6"/>
  <c r="AB89" i="6"/>
  <c r="AC89" i="6"/>
  <c r="AE89" i="6"/>
  <c r="AF89" i="6"/>
  <c r="AG89" i="6"/>
  <c r="AH89" i="6"/>
  <c r="AJ89" i="6"/>
  <c r="AK89" i="6"/>
  <c r="AL89" i="6"/>
  <c r="AM89" i="6"/>
  <c r="AO89" i="6"/>
  <c r="AP89" i="6"/>
  <c r="AQ89" i="6"/>
  <c r="AR89" i="6"/>
  <c r="AT89" i="6"/>
  <c r="AU89" i="6"/>
  <c r="AV89" i="6"/>
  <c r="AW89" i="6"/>
  <c r="AY89" i="6"/>
  <c r="AZ89" i="6"/>
  <c r="BA89" i="6"/>
  <c r="BB89" i="6"/>
  <c r="AX91" i="6"/>
  <c r="AS91" i="6"/>
  <c r="AN91" i="6"/>
  <c r="AI91" i="6"/>
  <c r="AD91" i="6"/>
  <c r="Y91" i="6"/>
  <c r="T91" i="6"/>
  <c r="O91" i="6"/>
  <c r="J91" i="6"/>
  <c r="H91" i="6"/>
  <c r="E91" i="6" s="1"/>
  <c r="AG124" i="6"/>
  <c r="AX55" i="6"/>
  <c r="AS55" i="6"/>
  <c r="AN55" i="6"/>
  <c r="AI55" i="6"/>
  <c r="AD55" i="6"/>
  <c r="Y55" i="6"/>
  <c r="T55" i="6"/>
  <c r="O55" i="6"/>
  <c r="J55" i="6"/>
  <c r="H55" i="6"/>
  <c r="E55" i="6" s="1"/>
  <c r="AX54" i="6"/>
  <c r="AS54" i="6"/>
  <c r="AN54" i="6"/>
  <c r="AI54" i="6"/>
  <c r="AD54" i="6"/>
  <c r="Y54" i="6"/>
  <c r="T54" i="6"/>
  <c r="O54" i="6"/>
  <c r="J54" i="6"/>
  <c r="H54" i="6"/>
  <c r="E54" i="6" s="1"/>
  <c r="AX53" i="6"/>
  <c r="AS53" i="6"/>
  <c r="AN53" i="6"/>
  <c r="AI53" i="6"/>
  <c r="AD53" i="6"/>
  <c r="Y53" i="6"/>
  <c r="T53" i="6"/>
  <c r="O53" i="6"/>
  <c r="J53" i="6"/>
  <c r="H53" i="6"/>
  <c r="E53" i="6" s="1"/>
  <c r="AD39" i="6" l="1"/>
  <c r="K31" i="6"/>
  <c r="L31" i="6"/>
  <c r="N31" i="6"/>
  <c r="P31" i="6"/>
  <c r="Q31" i="6"/>
  <c r="S31" i="6"/>
  <c r="U31" i="6"/>
  <c r="V31" i="6"/>
  <c r="X31" i="6"/>
  <c r="Z31" i="6"/>
  <c r="AA31" i="6"/>
  <c r="AB31" i="6"/>
  <c r="AC31" i="6"/>
  <c r="AE31" i="6"/>
  <c r="AF31" i="6"/>
  <c r="AH31" i="6"/>
  <c r="AJ31" i="6"/>
  <c r="AK31" i="6"/>
  <c r="AL31" i="6"/>
  <c r="AM31" i="6"/>
  <c r="AO31" i="6"/>
  <c r="AP31" i="6"/>
  <c r="AQ31" i="6"/>
  <c r="AR31" i="6"/>
  <c r="AT31" i="6"/>
  <c r="AU31" i="6"/>
  <c r="AV31" i="6"/>
  <c r="AW31" i="6"/>
  <c r="AY31" i="6"/>
  <c r="AZ31" i="6"/>
  <c r="BA31" i="6"/>
  <c r="BB31" i="6"/>
  <c r="AD41" i="6"/>
  <c r="Y41" i="6"/>
  <c r="T41" i="6"/>
  <c r="J41" i="6"/>
  <c r="I41" i="6"/>
  <c r="H41" i="6"/>
  <c r="G41" i="6"/>
  <c r="F41" i="6"/>
  <c r="E41" i="6" l="1"/>
  <c r="AM30" i="6"/>
  <c r="AR30" i="6"/>
  <c r="AW30" i="6"/>
  <c r="BB30" i="6"/>
  <c r="AX90" i="6"/>
  <c r="AX89" i="6" s="1"/>
  <c r="AS90" i="6"/>
  <c r="AS89" i="6" s="1"/>
  <c r="AN90" i="6"/>
  <c r="AN89" i="6" s="1"/>
  <c r="AI90" i="6"/>
  <c r="AI89" i="6" s="1"/>
  <c r="AD90" i="6"/>
  <c r="AD89" i="6" s="1"/>
  <c r="Y90" i="6"/>
  <c r="Y89" i="6" s="1"/>
  <c r="T90" i="6"/>
  <c r="T89" i="6" s="1"/>
  <c r="O90" i="6"/>
  <c r="O89" i="6" s="1"/>
  <c r="J90" i="6"/>
  <c r="J89" i="6" s="1"/>
  <c r="H90" i="6"/>
  <c r="H89" i="6" s="1"/>
  <c r="E90" i="6" l="1"/>
  <c r="E89" i="6" s="1"/>
  <c r="AI60" i="6"/>
  <c r="AN60" i="6"/>
  <c r="AS60" i="6"/>
  <c r="AX60" i="6"/>
  <c r="AI61" i="6"/>
  <c r="AN61" i="6"/>
  <c r="AS61" i="6"/>
  <c r="AX61" i="6"/>
  <c r="AI62" i="6"/>
  <c r="AN62" i="6"/>
  <c r="AS62" i="6"/>
  <c r="AX62" i="6"/>
  <c r="AI63" i="6"/>
  <c r="AN63" i="6"/>
  <c r="AS63" i="6"/>
  <c r="AX63" i="6"/>
  <c r="AI64" i="6"/>
  <c r="AN64" i="6"/>
  <c r="AS64" i="6"/>
  <c r="AX64" i="6"/>
  <c r="AI65" i="6"/>
  <c r="AN65" i="6"/>
  <c r="AS65" i="6"/>
  <c r="AX65" i="6"/>
  <c r="Y60" i="6"/>
  <c r="Y61" i="6"/>
  <c r="Y62" i="6"/>
  <c r="Y63" i="6"/>
  <c r="Y64" i="6"/>
  <c r="Y65" i="6"/>
  <c r="J60" i="6"/>
  <c r="O60" i="6"/>
  <c r="T60" i="6"/>
  <c r="J61" i="6"/>
  <c r="O61" i="6"/>
  <c r="T61" i="6"/>
  <c r="J62" i="6"/>
  <c r="O62" i="6"/>
  <c r="T62" i="6"/>
  <c r="J63" i="6"/>
  <c r="O63" i="6"/>
  <c r="T63" i="6"/>
  <c r="J64" i="6"/>
  <c r="O64" i="6"/>
  <c r="T64" i="6"/>
  <c r="J65" i="6"/>
  <c r="O65" i="6"/>
  <c r="T65" i="6"/>
  <c r="AI110" i="6"/>
  <c r="J110" i="6"/>
  <c r="R110" i="6"/>
  <c r="O110" i="6" s="1"/>
  <c r="T110" i="6"/>
  <c r="Y110" i="6"/>
  <c r="H110" i="6" l="1"/>
  <c r="E110" i="6" s="1"/>
  <c r="H72" i="6"/>
  <c r="E72" i="6" s="1"/>
  <c r="H60" i="6"/>
  <c r="E60" i="6" s="1"/>
  <c r="H61" i="6"/>
  <c r="E61" i="6" s="1"/>
  <c r="H62" i="6"/>
  <c r="E62" i="6" s="1"/>
  <c r="H63" i="6"/>
  <c r="E63" i="6" s="1"/>
  <c r="H64" i="6"/>
  <c r="E64" i="6" s="1"/>
  <c r="H65" i="6"/>
  <c r="E65" i="6" s="1"/>
  <c r="AX34" i="6"/>
  <c r="AS34" i="6"/>
  <c r="AN34" i="6"/>
  <c r="AI34" i="6"/>
  <c r="AD34" i="6"/>
  <c r="Y34" i="6"/>
  <c r="T34" i="6"/>
  <c r="O34" i="6"/>
  <c r="J34" i="6"/>
  <c r="I34" i="6"/>
  <c r="H34" i="6"/>
  <c r="E34" i="6" s="1"/>
  <c r="G34" i="6"/>
  <c r="F34" i="6"/>
  <c r="AE106" i="6" l="1"/>
  <c r="AF106" i="6"/>
  <c r="AG106" i="6"/>
  <c r="AD110" i="6"/>
  <c r="AD72" i="6"/>
  <c r="AD40" i="6" l="1"/>
  <c r="AD61" i="6"/>
  <c r="AD62" i="6"/>
  <c r="AD63" i="6"/>
  <c r="AD64" i="6"/>
  <c r="AD65" i="6"/>
  <c r="AD60" i="6"/>
  <c r="AG139" i="6" l="1"/>
  <c r="AG150" i="6"/>
  <c r="AG134" i="6"/>
  <c r="K95" i="6"/>
  <c r="L95" i="6"/>
  <c r="N95" i="6"/>
  <c r="P95" i="6"/>
  <c r="Q95" i="6"/>
  <c r="S95" i="6"/>
  <c r="U95" i="6"/>
  <c r="V95" i="6"/>
  <c r="X95" i="6"/>
  <c r="Z95" i="6"/>
  <c r="AA95" i="6"/>
  <c r="AC95" i="6"/>
  <c r="AE95" i="6"/>
  <c r="AF95" i="6"/>
  <c r="AG95" i="6"/>
  <c r="AH95" i="6"/>
  <c r="AJ95" i="6"/>
  <c r="AK95" i="6"/>
  <c r="AL95" i="6"/>
  <c r="AM95" i="6"/>
  <c r="AO95" i="6"/>
  <c r="AP95" i="6"/>
  <c r="AQ95" i="6"/>
  <c r="AR95" i="6"/>
  <c r="AT95" i="6"/>
  <c r="AU95" i="6"/>
  <c r="AV95" i="6"/>
  <c r="AW95" i="6"/>
  <c r="AY95" i="6"/>
  <c r="AZ95" i="6"/>
  <c r="BA95" i="6"/>
  <c r="AI100" i="6"/>
  <c r="AD100" i="6"/>
  <c r="Y100" i="6"/>
  <c r="T100" i="6"/>
  <c r="O100" i="6"/>
  <c r="J100" i="6"/>
  <c r="I100" i="6"/>
  <c r="H100" i="6"/>
  <c r="G100" i="6"/>
  <c r="F100" i="6"/>
  <c r="E100" i="6" l="1"/>
  <c r="AG27" i="6"/>
  <c r="AG31" i="6" l="1"/>
  <c r="Q10" i="3" l="1"/>
  <c r="K106" i="6" l="1"/>
  <c r="L106" i="6"/>
  <c r="M106" i="6"/>
  <c r="N106" i="6"/>
  <c r="P106" i="6"/>
  <c r="Q106" i="6"/>
  <c r="S106" i="6"/>
  <c r="U106" i="6"/>
  <c r="V106" i="6"/>
  <c r="X106" i="6"/>
  <c r="Z106" i="6"/>
  <c r="AA106" i="6"/>
  <c r="AB106" i="6"/>
  <c r="AC106" i="6"/>
  <c r="AH106" i="6"/>
  <c r="AJ106" i="6"/>
  <c r="AK106" i="6"/>
  <c r="AI109" i="6"/>
  <c r="AD109" i="6"/>
  <c r="Y109" i="6"/>
  <c r="T109" i="6"/>
  <c r="R109" i="6"/>
  <c r="O109" i="6" s="1"/>
  <c r="J109" i="6"/>
  <c r="H109" i="6" l="1"/>
  <c r="E109" i="6" s="1"/>
  <c r="AB113" i="6" l="1"/>
  <c r="AI164" i="6"/>
  <c r="AD164" i="6"/>
  <c r="Y164" i="6"/>
  <c r="T164" i="6"/>
  <c r="O164" i="6"/>
  <c r="J164" i="6"/>
  <c r="I164" i="6"/>
  <c r="H164" i="6"/>
  <c r="G164" i="6"/>
  <c r="F164" i="6"/>
  <c r="E164" i="6" l="1"/>
  <c r="AN126" i="6"/>
  <c r="AI126" i="6"/>
  <c r="AD126" i="6"/>
  <c r="H126" i="6"/>
  <c r="Y126" i="6"/>
  <c r="T126" i="6"/>
  <c r="O126" i="6"/>
  <c r="J126" i="6"/>
  <c r="I126" i="6"/>
  <c r="G126" i="6"/>
  <c r="F126" i="6"/>
  <c r="E126" i="6" l="1"/>
  <c r="H77" i="6"/>
  <c r="E77" i="6" s="1"/>
  <c r="H78" i="6"/>
  <c r="H79" i="6"/>
  <c r="E79" i="6" s="1"/>
  <c r="H80" i="6"/>
  <c r="E80" i="6" s="1"/>
  <c r="H81" i="6"/>
  <c r="E81" i="6" s="1"/>
  <c r="H82" i="6"/>
  <c r="E82" i="6" s="1"/>
  <c r="H83" i="6"/>
  <c r="E83" i="6" s="1"/>
  <c r="H84" i="6"/>
  <c r="E84" i="6" s="1"/>
  <c r="H85" i="6"/>
  <c r="E85" i="6" s="1"/>
  <c r="H86" i="6"/>
  <c r="E86" i="6" s="1"/>
  <c r="H76" i="6"/>
  <c r="E76" i="6" s="1"/>
  <c r="F75" i="6"/>
  <c r="F68" i="6" s="1"/>
  <c r="G75" i="6"/>
  <c r="G68" i="6" s="1"/>
  <c r="I75" i="6"/>
  <c r="I68" i="6" s="1"/>
  <c r="K75" i="6"/>
  <c r="K68" i="6" s="1"/>
  <c r="L75" i="6"/>
  <c r="L68" i="6" s="1"/>
  <c r="M75" i="6"/>
  <c r="M68" i="6" s="1"/>
  <c r="N75" i="6"/>
  <c r="N68" i="6" s="1"/>
  <c r="P75" i="6"/>
  <c r="P68" i="6" s="1"/>
  <c r="Q75" i="6"/>
  <c r="Q68" i="6" s="1"/>
  <c r="R75" i="6"/>
  <c r="R68" i="6" s="1"/>
  <c r="S75" i="6"/>
  <c r="S68" i="6" s="1"/>
  <c r="U75" i="6"/>
  <c r="U68" i="6" s="1"/>
  <c r="V75" i="6"/>
  <c r="V68" i="6" s="1"/>
  <c r="W75" i="6"/>
  <c r="W68" i="6" s="1"/>
  <c r="X75" i="6"/>
  <c r="X68" i="6" s="1"/>
  <c r="Z75" i="6"/>
  <c r="Z68" i="6" s="1"/>
  <c r="AA75" i="6"/>
  <c r="AA68" i="6" s="1"/>
  <c r="AB75" i="6"/>
  <c r="AB68" i="6" s="1"/>
  <c r="AC75" i="6"/>
  <c r="AC68" i="6" s="1"/>
  <c r="AE75" i="6"/>
  <c r="AE68" i="6" s="1"/>
  <c r="AF75" i="6"/>
  <c r="AF68" i="6" s="1"/>
  <c r="AG75" i="6"/>
  <c r="AG68" i="6" s="1"/>
  <c r="AH75" i="6"/>
  <c r="AH68" i="6" s="1"/>
  <c r="AJ75" i="6"/>
  <c r="AJ68" i="6" s="1"/>
  <c r="AK75" i="6"/>
  <c r="AK68" i="6" s="1"/>
  <c r="AL75" i="6"/>
  <c r="AL68" i="6" s="1"/>
  <c r="AM75" i="6"/>
  <c r="AM68" i="6" s="1"/>
  <c r="AO75" i="6"/>
  <c r="AO68" i="6" s="1"/>
  <c r="AP75" i="6"/>
  <c r="AP68" i="6" s="1"/>
  <c r="AQ75" i="6"/>
  <c r="AQ68" i="6" s="1"/>
  <c r="AR75" i="6"/>
  <c r="AR68" i="6" s="1"/>
  <c r="AT75" i="6"/>
  <c r="AT68" i="6" s="1"/>
  <c r="AU75" i="6"/>
  <c r="AU68" i="6" s="1"/>
  <c r="AV75" i="6"/>
  <c r="AV68" i="6" s="1"/>
  <c r="AW75" i="6"/>
  <c r="AW68" i="6" s="1"/>
  <c r="AY75" i="6"/>
  <c r="AY68" i="6" s="1"/>
  <c r="AZ75" i="6"/>
  <c r="AZ68" i="6" s="1"/>
  <c r="BA75" i="6"/>
  <c r="BA68" i="6" s="1"/>
  <c r="J77" i="6"/>
  <c r="O77" i="6"/>
  <c r="T77" i="6"/>
  <c r="Y77" i="6"/>
  <c r="AD77" i="6"/>
  <c r="AI77" i="6"/>
  <c r="AN77" i="6"/>
  <c r="AS77" i="6"/>
  <c r="AX77" i="6"/>
  <c r="J78" i="6"/>
  <c r="O78" i="6"/>
  <c r="T78" i="6"/>
  <c r="Y78" i="6"/>
  <c r="AD78" i="6"/>
  <c r="AI78" i="6"/>
  <c r="AN78" i="6"/>
  <c r="AS78" i="6"/>
  <c r="AX78" i="6"/>
  <c r="J79" i="6"/>
  <c r="O79" i="6"/>
  <c r="T79" i="6"/>
  <c r="Y79" i="6"/>
  <c r="AD79" i="6"/>
  <c r="AI79" i="6"/>
  <c r="AN79" i="6"/>
  <c r="AS79" i="6"/>
  <c r="AX79" i="6"/>
  <c r="J80" i="6"/>
  <c r="O80" i="6"/>
  <c r="T80" i="6"/>
  <c r="Y80" i="6"/>
  <c r="AD80" i="6"/>
  <c r="AI80" i="6"/>
  <c r="AN80" i="6"/>
  <c r="AS80" i="6"/>
  <c r="AX80" i="6"/>
  <c r="J81" i="6"/>
  <c r="O81" i="6"/>
  <c r="T81" i="6"/>
  <c r="Y81" i="6"/>
  <c r="AD81" i="6"/>
  <c r="AI81" i="6"/>
  <c r="AN81" i="6"/>
  <c r="AS81" i="6"/>
  <c r="AX81" i="6"/>
  <c r="J82" i="6"/>
  <c r="O82" i="6"/>
  <c r="T82" i="6"/>
  <c r="Y82" i="6"/>
  <c r="AD82" i="6"/>
  <c r="AI82" i="6"/>
  <c r="AN82" i="6"/>
  <c r="AS82" i="6"/>
  <c r="AX82" i="6"/>
  <c r="J83" i="6"/>
  <c r="O83" i="6"/>
  <c r="T83" i="6"/>
  <c r="Y83" i="6"/>
  <c r="AD83" i="6"/>
  <c r="AI83" i="6"/>
  <c r="AN83" i="6"/>
  <c r="AS83" i="6"/>
  <c r="AX83" i="6"/>
  <c r="J84" i="6"/>
  <c r="O84" i="6"/>
  <c r="T84" i="6"/>
  <c r="Y84" i="6"/>
  <c r="AD84" i="6"/>
  <c r="AI84" i="6"/>
  <c r="AN84" i="6"/>
  <c r="AS84" i="6"/>
  <c r="AX84" i="6"/>
  <c r="J85" i="6"/>
  <c r="O85" i="6"/>
  <c r="T85" i="6"/>
  <c r="Y85" i="6"/>
  <c r="AD85" i="6"/>
  <c r="AI85" i="6"/>
  <c r="AN85" i="6"/>
  <c r="AS85" i="6"/>
  <c r="AX85" i="6"/>
  <c r="J86" i="6"/>
  <c r="O86" i="6"/>
  <c r="T86" i="6"/>
  <c r="Y86" i="6"/>
  <c r="AD86" i="6"/>
  <c r="AI86" i="6"/>
  <c r="AN86" i="6"/>
  <c r="AS86" i="6"/>
  <c r="AX86" i="6"/>
  <c r="AX76" i="6"/>
  <c r="AS76" i="6"/>
  <c r="AN76" i="6"/>
  <c r="AI76" i="6"/>
  <c r="AD76" i="6"/>
  <c r="Y76" i="6"/>
  <c r="T76" i="6"/>
  <c r="O76" i="6"/>
  <c r="J76" i="6"/>
  <c r="AX51" i="6"/>
  <c r="AS51" i="6"/>
  <c r="AN51" i="6"/>
  <c r="AI51" i="6"/>
  <c r="AD51" i="6"/>
  <c r="Y51" i="6"/>
  <c r="T51" i="6"/>
  <c r="O51" i="6"/>
  <c r="J51" i="6"/>
  <c r="H51" i="6"/>
  <c r="E51" i="6" s="1"/>
  <c r="AX52" i="6"/>
  <c r="AS52" i="6"/>
  <c r="AN52" i="6"/>
  <c r="AI52" i="6"/>
  <c r="AD52" i="6"/>
  <c r="Y52" i="6"/>
  <c r="T52" i="6"/>
  <c r="O52" i="6"/>
  <c r="J52" i="6"/>
  <c r="H52" i="6"/>
  <c r="E52" i="6" s="1"/>
  <c r="AD32" i="6"/>
  <c r="H153" i="6"/>
  <c r="H158" i="6"/>
  <c r="H159" i="6"/>
  <c r="H160" i="6"/>
  <c r="H161" i="6"/>
  <c r="H163" i="6"/>
  <c r="H165" i="6"/>
  <c r="H166" i="6"/>
  <c r="H167" i="6"/>
  <c r="H168" i="6"/>
  <c r="H169" i="6"/>
  <c r="H170" i="6"/>
  <c r="H152" i="6"/>
  <c r="H136" i="6"/>
  <c r="H113" i="6"/>
  <c r="H104" i="6"/>
  <c r="H107" i="6"/>
  <c r="H99" i="6"/>
  <c r="H70" i="6"/>
  <c r="H71" i="6"/>
  <c r="E71" i="6" s="1"/>
  <c r="H69" i="6"/>
  <c r="H59" i="6"/>
  <c r="H45" i="6"/>
  <c r="H47" i="6"/>
  <c r="H48" i="6"/>
  <c r="H49" i="6"/>
  <c r="H50" i="6"/>
  <c r="H39" i="6"/>
  <c r="H40" i="6"/>
  <c r="H33" i="6"/>
  <c r="H29" i="6"/>
  <c r="H23" i="6"/>
  <c r="BA101" i="6"/>
  <c r="S31" i="3" s="1"/>
  <c r="AZ101" i="6"/>
  <c r="AY101" i="6"/>
  <c r="BB101" i="6"/>
  <c r="BB95" i="6"/>
  <c r="S27" i="3"/>
  <c r="BB92" i="6"/>
  <c r="BA92" i="6"/>
  <c r="S23" i="3" s="1"/>
  <c r="AZ92" i="6"/>
  <c r="AY92" i="6"/>
  <c r="AX71" i="6"/>
  <c r="AX70" i="6"/>
  <c r="AX69" i="6"/>
  <c r="AX59" i="6"/>
  <c r="AX58" i="6"/>
  <c r="AX50" i="6"/>
  <c r="AX49" i="6"/>
  <c r="AX48" i="6"/>
  <c r="AX47" i="6"/>
  <c r="AX46" i="6"/>
  <c r="AX45" i="6"/>
  <c r="AX44" i="6"/>
  <c r="AX37" i="6"/>
  <c r="AX36" i="6"/>
  <c r="AX35" i="6"/>
  <c r="AX33" i="6"/>
  <c r="BB25" i="6"/>
  <c r="AZ25" i="6"/>
  <c r="AY25" i="6"/>
  <c r="BB20" i="6"/>
  <c r="BA20" i="6"/>
  <c r="AZ20" i="6"/>
  <c r="AY20" i="6"/>
  <c r="BB15" i="6"/>
  <c r="BA15" i="6"/>
  <c r="AZ15" i="6"/>
  <c r="AY15" i="6"/>
  <c r="AX14" i="6"/>
  <c r="BB11" i="6"/>
  <c r="BA11" i="6"/>
  <c r="AZ11" i="6"/>
  <c r="AY11" i="6"/>
  <c r="AU101" i="6"/>
  <c r="AW101" i="6"/>
  <c r="AT101" i="6"/>
  <c r="R27" i="3"/>
  <c r="AW92" i="6"/>
  <c r="AV92" i="6"/>
  <c r="R23" i="3" s="1"/>
  <c r="AU92" i="6"/>
  <c r="AT92" i="6"/>
  <c r="AS71" i="6"/>
  <c r="AS70" i="6"/>
  <c r="AS69" i="6"/>
  <c r="AS59" i="6"/>
  <c r="AS58" i="6"/>
  <c r="AS50" i="6"/>
  <c r="AS49" i="6"/>
  <c r="AS48" i="6"/>
  <c r="AS47" i="6"/>
  <c r="AS46" i="6"/>
  <c r="AS45" i="6"/>
  <c r="AS44" i="6"/>
  <c r="AS37" i="6"/>
  <c r="AS36" i="6"/>
  <c r="AS35" i="6"/>
  <c r="AS33" i="6"/>
  <c r="AW25" i="6"/>
  <c r="AU25" i="6"/>
  <c r="AT25" i="6"/>
  <c r="AW20" i="6"/>
  <c r="AV20" i="6"/>
  <c r="AU20" i="6"/>
  <c r="AT20" i="6"/>
  <c r="AW15" i="6"/>
  <c r="AV15" i="6"/>
  <c r="AU15" i="6"/>
  <c r="AT15" i="6"/>
  <c r="AS14" i="6"/>
  <c r="AW11" i="6"/>
  <c r="AV11" i="6"/>
  <c r="AU11" i="6"/>
  <c r="AT11" i="6"/>
  <c r="AR101" i="6"/>
  <c r="AR92" i="6"/>
  <c r="AR25" i="6"/>
  <c r="AR20" i="6"/>
  <c r="AR15" i="6"/>
  <c r="AR11" i="6"/>
  <c r="AP151" i="6"/>
  <c r="AO151" i="6"/>
  <c r="AP132" i="6"/>
  <c r="AO132" i="6"/>
  <c r="AN131" i="6"/>
  <c r="AN130" i="6"/>
  <c r="AN129" i="6"/>
  <c r="AN128" i="6"/>
  <c r="AN127" i="6"/>
  <c r="AN125" i="6"/>
  <c r="AN124" i="6"/>
  <c r="AN123" i="6"/>
  <c r="AN122" i="6"/>
  <c r="AN121" i="6"/>
  <c r="AN120" i="6"/>
  <c r="AN119" i="6"/>
  <c r="AN118" i="6"/>
  <c r="AN117" i="6"/>
  <c r="AN116" i="6"/>
  <c r="AN115" i="6"/>
  <c r="AN114" i="6"/>
  <c r="AN113" i="6"/>
  <c r="AP112" i="6"/>
  <c r="AO112" i="6"/>
  <c r="AQ101" i="6"/>
  <c r="Q31" i="3" s="1"/>
  <c r="AP101" i="6"/>
  <c r="S32" i="3" s="1"/>
  <c r="AO101" i="6"/>
  <c r="R32" i="3" s="1"/>
  <c r="Q27" i="3"/>
  <c r="S28" i="3"/>
  <c r="R28" i="3"/>
  <c r="AQ92" i="6"/>
  <c r="Q23" i="3" s="1"/>
  <c r="AP92" i="6"/>
  <c r="S24" i="3" s="1"/>
  <c r="AO92" i="6"/>
  <c r="R24" i="3" s="1"/>
  <c r="AN71" i="6"/>
  <c r="AN70" i="6"/>
  <c r="AN69" i="6"/>
  <c r="AN59" i="6"/>
  <c r="AN58" i="6"/>
  <c r="AN57" i="6" s="1"/>
  <c r="AN50" i="6"/>
  <c r="AN49" i="6"/>
  <c r="AN48" i="6"/>
  <c r="AN47" i="6"/>
  <c r="AN46" i="6"/>
  <c r="AN45" i="6"/>
  <c r="AN44" i="6"/>
  <c r="AN37" i="6"/>
  <c r="AN36" i="6"/>
  <c r="AN35" i="6"/>
  <c r="AN33" i="6"/>
  <c r="AP25" i="6"/>
  <c r="AO25" i="6"/>
  <c r="AQ20" i="6"/>
  <c r="AP20" i="6"/>
  <c r="AO20" i="6"/>
  <c r="AQ15" i="6"/>
  <c r="AP15" i="6"/>
  <c r="AO15" i="6"/>
  <c r="AN14" i="6"/>
  <c r="AN13" i="6"/>
  <c r="AN12" i="6"/>
  <c r="AQ11" i="6"/>
  <c r="AP11" i="6"/>
  <c r="AO11" i="6"/>
  <c r="AS57" i="6" l="1"/>
  <c r="AX57" i="6"/>
  <c r="AN43" i="6"/>
  <c r="AX43" i="6"/>
  <c r="AS43" i="6"/>
  <c r="AS11" i="6"/>
  <c r="AS31" i="6"/>
  <c r="AN31" i="6"/>
  <c r="AX31" i="6"/>
  <c r="AX95" i="6"/>
  <c r="AS95" i="6"/>
  <c r="AT10" i="6"/>
  <c r="AR10" i="6"/>
  <c r="AR9" i="6" s="1"/>
  <c r="AR175" i="6" s="1"/>
  <c r="AU42" i="6"/>
  <c r="AU30" i="6" s="1"/>
  <c r="AN95" i="6"/>
  <c r="AU10" i="6"/>
  <c r="AO111" i="6"/>
  <c r="R36" i="3" s="1"/>
  <c r="AZ42" i="6"/>
  <c r="AZ30" i="6" s="1"/>
  <c r="AY10" i="6"/>
  <c r="AP10" i="6"/>
  <c r="S16" i="3" s="1"/>
  <c r="AS101" i="6"/>
  <c r="AX101" i="6"/>
  <c r="AP42" i="6"/>
  <c r="AY111" i="6"/>
  <c r="BA25" i="6"/>
  <c r="BA10" i="6" s="1"/>
  <c r="AP111" i="6"/>
  <c r="S36" i="3" s="1"/>
  <c r="AX11" i="6"/>
  <c r="AX15" i="6"/>
  <c r="AS15" i="6"/>
  <c r="AN92" i="6"/>
  <c r="AT111" i="6"/>
  <c r="Y75" i="6"/>
  <c r="O75" i="6"/>
  <c r="BB111" i="6"/>
  <c r="AS92" i="6"/>
  <c r="AN101" i="6"/>
  <c r="J75" i="6"/>
  <c r="AN75" i="6"/>
  <c r="AN68" i="6" s="1"/>
  <c r="T75" i="6"/>
  <c r="AN151" i="6"/>
  <c r="AN112" i="6"/>
  <c r="AD75" i="6"/>
  <c r="AX92" i="6"/>
  <c r="AI75" i="6"/>
  <c r="AS75" i="6"/>
  <c r="AS68" i="6" s="1"/>
  <c r="AX75" i="6"/>
  <c r="AX68" i="6" s="1"/>
  <c r="H75" i="6"/>
  <c r="H68" i="6" s="1"/>
  <c r="E78" i="6"/>
  <c r="E75" i="6" s="1"/>
  <c r="AQ42" i="6"/>
  <c r="AO42" i="6"/>
  <c r="AO30" i="6" s="1"/>
  <c r="AS20" i="6"/>
  <c r="AW111" i="6"/>
  <c r="AZ10" i="6"/>
  <c r="AX20" i="6"/>
  <c r="AV101" i="6"/>
  <c r="R31" i="3" s="1"/>
  <c r="AN11" i="6"/>
  <c r="AO10" i="6"/>
  <c r="AN15" i="6"/>
  <c r="AQ25" i="6"/>
  <c r="AQ10" i="6" s="1"/>
  <c r="Q15" i="3" s="1"/>
  <c r="AR111" i="6"/>
  <c r="AW10" i="6"/>
  <c r="AW9" i="6" s="1"/>
  <c r="AW175" i="6" s="1"/>
  <c r="AS25" i="6"/>
  <c r="AT42" i="6"/>
  <c r="AT30" i="6" s="1"/>
  <c r="AV42" i="6"/>
  <c r="AU111" i="6"/>
  <c r="BB10" i="6"/>
  <c r="BB9" i="6" s="1"/>
  <c r="BB175" i="6" s="1"/>
  <c r="AX25" i="6"/>
  <c r="AY42" i="6"/>
  <c r="AY30" i="6" s="1"/>
  <c r="BA42" i="6"/>
  <c r="AZ111" i="6"/>
  <c r="AV25" i="6"/>
  <c r="AV10" i="6" s="1"/>
  <c r="AN20" i="6"/>
  <c r="AN25" i="6"/>
  <c r="AN132" i="6"/>
  <c r="S15" i="3" l="1"/>
  <c r="BA9" i="6"/>
  <c r="R15" i="3"/>
  <c r="AV9" i="6"/>
  <c r="AN111" i="6"/>
  <c r="E111" i="6" s="1"/>
  <c r="Q35" i="3"/>
  <c r="AQ9" i="6"/>
  <c r="AV30" i="6"/>
  <c r="R19" i="3" s="1"/>
  <c r="BA30" i="6"/>
  <c r="S19" i="3" s="1"/>
  <c r="AQ30" i="6"/>
  <c r="AP30" i="6"/>
  <c r="AP9" i="6" s="1"/>
  <c r="AY9" i="6"/>
  <c r="AT9" i="6"/>
  <c r="AU9" i="6"/>
  <c r="R16" i="3"/>
  <c r="AZ9" i="6"/>
  <c r="AX10" i="6"/>
  <c r="AN42" i="6"/>
  <c r="AN30" i="6" s="1"/>
  <c r="AS42" i="6"/>
  <c r="AS30" i="6" s="1"/>
  <c r="AX42" i="6"/>
  <c r="AX30" i="6" s="1"/>
  <c r="AS10" i="6"/>
  <c r="R20" i="3"/>
  <c r="AN10" i="6"/>
  <c r="AO9" i="6"/>
  <c r="H9" i="6" l="1"/>
  <c r="E9" i="6" s="1"/>
  <c r="Q19" i="3"/>
  <c r="Q11" i="3" s="1"/>
  <c r="S20" i="3"/>
  <c r="S12" i="3" s="1"/>
  <c r="R35" i="3"/>
  <c r="R11" i="3" s="1"/>
  <c r="R12" i="3"/>
  <c r="S35" i="3"/>
  <c r="S11" i="3" s="1"/>
  <c r="AS9" i="6"/>
  <c r="AX9" i="6"/>
  <c r="AN9" i="6"/>
  <c r="Q12" i="3"/>
  <c r="S10" i="3" l="1"/>
  <c r="AB97" i="6" l="1"/>
  <c r="AB95" i="6" s="1"/>
  <c r="F39" i="6"/>
  <c r="G39" i="6"/>
  <c r="I39" i="6"/>
  <c r="T39" i="6"/>
  <c r="F40" i="6"/>
  <c r="G40" i="6"/>
  <c r="I40" i="6"/>
  <c r="T40" i="6"/>
  <c r="E39" i="6" l="1"/>
  <c r="J40" i="6"/>
  <c r="J39" i="6"/>
  <c r="Y37" i="6" l="1"/>
  <c r="Y36" i="6"/>
  <c r="AI71" i="6"/>
  <c r="AD71" i="6"/>
  <c r="Y71" i="6"/>
  <c r="T71" i="6"/>
  <c r="O71" i="6"/>
  <c r="J71" i="6"/>
  <c r="AI70" i="6"/>
  <c r="AD70" i="6"/>
  <c r="Y70" i="6"/>
  <c r="T70" i="6"/>
  <c r="O70" i="6"/>
  <c r="J70" i="6"/>
  <c r="E70" i="6"/>
  <c r="AI50" i="6" l="1"/>
  <c r="AD50" i="6"/>
  <c r="Y50" i="6"/>
  <c r="T50" i="6"/>
  <c r="O50" i="6"/>
  <c r="J50" i="6"/>
  <c r="E50" i="6"/>
  <c r="AI49" i="6"/>
  <c r="AD49" i="6"/>
  <c r="Y49" i="6"/>
  <c r="T49" i="6"/>
  <c r="O49" i="6"/>
  <c r="J49" i="6"/>
  <c r="E49" i="6"/>
  <c r="E40" i="6" l="1"/>
  <c r="Y39" i="6"/>
  <c r="Y40" i="6"/>
  <c r="H131" i="6" l="1"/>
  <c r="AB130" i="6"/>
  <c r="AB129" i="6"/>
  <c r="AB127" i="6"/>
  <c r="AB125" i="6"/>
  <c r="H125" i="6" s="1"/>
  <c r="AB124" i="6"/>
  <c r="AB122" i="6"/>
  <c r="AB121" i="6"/>
  <c r="AB120" i="6"/>
  <c r="H120" i="6" s="1"/>
  <c r="AB119" i="6"/>
  <c r="H118" i="6"/>
  <c r="AB117" i="6"/>
  <c r="H117" i="6" s="1"/>
  <c r="AB115" i="6"/>
  <c r="H115" i="6" s="1"/>
  <c r="H114" i="6"/>
  <c r="AB138" i="6"/>
  <c r="AB42" i="6"/>
  <c r="AB30" i="6" s="1"/>
  <c r="AI59" i="6"/>
  <c r="AD59" i="6"/>
  <c r="Y59" i="6"/>
  <c r="E59" i="6"/>
  <c r="T59" i="6"/>
  <c r="O59" i="6"/>
  <c r="J59" i="6"/>
  <c r="AG112" i="6" l="1"/>
  <c r="AB112" i="6"/>
  <c r="AB132" i="6"/>
  <c r="AI105" i="6"/>
  <c r="AD105" i="6"/>
  <c r="AI104" i="6"/>
  <c r="AD104" i="6"/>
  <c r="AI103" i="6"/>
  <c r="AD103" i="6"/>
  <c r="AI102" i="6"/>
  <c r="AD102" i="6"/>
  <c r="AI96" i="6" l="1"/>
  <c r="AD96" i="6"/>
  <c r="AI98" i="6"/>
  <c r="AD98" i="6"/>
  <c r="AI97" i="6"/>
  <c r="AD97" i="6"/>
  <c r="AI94" i="6"/>
  <c r="AD94" i="6"/>
  <c r="AI93" i="6"/>
  <c r="AD93" i="6"/>
  <c r="AI48" i="6" l="1"/>
  <c r="AD48" i="6"/>
  <c r="Y48" i="6"/>
  <c r="T48" i="6"/>
  <c r="O48" i="6"/>
  <c r="J48" i="6"/>
  <c r="E48" i="6"/>
  <c r="AI35" i="6"/>
  <c r="AD35" i="6"/>
  <c r="AG26" i="6"/>
  <c r="AB26" i="6"/>
  <c r="AI24" i="6" l="1"/>
  <c r="AD24" i="6"/>
  <c r="AI19" i="6"/>
  <c r="AD19" i="6"/>
  <c r="AI22" i="6" l="1"/>
  <c r="AD22" i="6"/>
  <c r="AI17" i="6"/>
  <c r="AD17" i="6"/>
  <c r="AI13" i="6"/>
  <c r="AD13" i="6"/>
  <c r="AB15" i="6"/>
  <c r="AI136" i="6" l="1"/>
  <c r="AD136" i="6"/>
  <c r="Y136" i="6"/>
  <c r="T136" i="6"/>
  <c r="O136" i="6"/>
  <c r="G136" i="6"/>
  <c r="F136" i="6"/>
  <c r="E136" i="6" l="1"/>
  <c r="N15" i="9" l="1"/>
  <c r="W22" i="6" l="1"/>
  <c r="H22" i="6" s="1"/>
  <c r="W17" i="6"/>
  <c r="H17" i="6" s="1"/>
  <c r="W13" i="6"/>
  <c r="W155" i="6" l="1"/>
  <c r="H155" i="6" s="1"/>
  <c r="W146" i="6"/>
  <c r="W46" i="6"/>
  <c r="W43" i="6" s="1"/>
  <c r="H46" i="6" l="1"/>
  <c r="W119" i="6"/>
  <c r="W150" i="6"/>
  <c r="H150" i="6" s="1"/>
  <c r="W133" i="6"/>
  <c r="H133" i="6" s="1"/>
  <c r="W97" i="6"/>
  <c r="W58" i="6"/>
  <c r="W57" i="6" s="1"/>
  <c r="W128" i="6"/>
  <c r="H128" i="6" s="1"/>
  <c r="W28" i="6"/>
  <c r="W27" i="6"/>
  <c r="H27" i="6" s="1"/>
  <c r="W12" i="6"/>
  <c r="H58" i="6" l="1"/>
  <c r="H57" i="6" s="1"/>
  <c r="W16" i="6"/>
  <c r="W93" i="6" l="1"/>
  <c r="AI47" i="6" l="1"/>
  <c r="AD47" i="6"/>
  <c r="Y47" i="6"/>
  <c r="T47" i="6"/>
  <c r="O47" i="6"/>
  <c r="J47" i="6"/>
  <c r="G47" i="6"/>
  <c r="F47" i="6"/>
  <c r="E47" i="6" l="1"/>
  <c r="W21" i="6" l="1"/>
  <c r="W149" i="6" l="1"/>
  <c r="W148" i="6"/>
  <c r="W147" i="6"/>
  <c r="W145" i="6"/>
  <c r="W144" i="6"/>
  <c r="W143" i="6"/>
  <c r="W142" i="6"/>
  <c r="W141" i="6"/>
  <c r="W140" i="6"/>
  <c r="W139" i="6"/>
  <c r="H139" i="6" s="1"/>
  <c r="W138" i="6"/>
  <c r="W137" i="6"/>
  <c r="W135" i="6"/>
  <c r="W134" i="6"/>
  <c r="W24" i="6"/>
  <c r="H24" i="6" s="1"/>
  <c r="W19" i="6"/>
  <c r="H19" i="6" s="1"/>
  <c r="W26" i="6"/>
  <c r="W105" i="6" l="1"/>
  <c r="W103" i="6"/>
  <c r="R93" i="6" l="1"/>
  <c r="H93" i="6" s="1"/>
  <c r="R94" i="6"/>
  <c r="H94" i="6" s="1"/>
  <c r="T37" i="6" l="1"/>
  <c r="T38" i="6"/>
  <c r="I115" i="6" l="1"/>
  <c r="I116" i="6"/>
  <c r="I37" i="6"/>
  <c r="I38" i="6"/>
  <c r="G37" i="6"/>
  <c r="G38" i="6"/>
  <c r="F37" i="6"/>
  <c r="F38" i="6"/>
  <c r="F32" i="6"/>
  <c r="F33" i="6"/>
  <c r="G32" i="6"/>
  <c r="G33" i="6"/>
  <c r="I32" i="6"/>
  <c r="I33" i="6"/>
  <c r="I35" i="6"/>
  <c r="K151" i="6"/>
  <c r="L151" i="6"/>
  <c r="N151" i="6"/>
  <c r="P151" i="6"/>
  <c r="Q151" i="6"/>
  <c r="S151" i="6"/>
  <c r="U151" i="6"/>
  <c r="V151" i="6"/>
  <c r="W151" i="6"/>
  <c r="X151" i="6"/>
  <c r="Z151" i="6"/>
  <c r="AA151" i="6"/>
  <c r="AC151" i="6"/>
  <c r="AE151" i="6"/>
  <c r="AF151" i="6"/>
  <c r="AG151" i="6"/>
  <c r="AH151" i="6"/>
  <c r="AJ151" i="6"/>
  <c r="AK151" i="6"/>
  <c r="AL151" i="6"/>
  <c r="AM151" i="6"/>
  <c r="AI170" i="6" l="1"/>
  <c r="AD170" i="6"/>
  <c r="Y170" i="6"/>
  <c r="T170" i="6"/>
  <c r="O170" i="6"/>
  <c r="G170" i="6"/>
  <c r="F170" i="6"/>
  <c r="E170" i="6" l="1"/>
  <c r="AI46" i="6"/>
  <c r="AD46" i="6"/>
  <c r="Y46" i="6"/>
  <c r="T46" i="6"/>
  <c r="O46" i="6"/>
  <c r="J46" i="6"/>
  <c r="G46" i="6"/>
  <c r="F46" i="6"/>
  <c r="AI45" i="6"/>
  <c r="AD45" i="6"/>
  <c r="Y45" i="6"/>
  <c r="T45" i="6"/>
  <c r="O45" i="6"/>
  <c r="J45" i="6"/>
  <c r="G45" i="6"/>
  <c r="F45" i="6"/>
  <c r="E46" i="6" l="1"/>
  <c r="E45" i="6"/>
  <c r="AB162" i="6" l="1"/>
  <c r="AB151" i="6" s="1"/>
  <c r="AI150" i="6"/>
  <c r="AD150" i="6"/>
  <c r="Y150" i="6"/>
  <c r="AI149" i="6"/>
  <c r="AD149" i="6"/>
  <c r="Y149" i="6"/>
  <c r="AI148" i="6"/>
  <c r="AD148" i="6"/>
  <c r="Y148" i="6"/>
  <c r="AI147" i="6"/>
  <c r="AD147" i="6"/>
  <c r="Y147" i="6"/>
  <c r="AI146" i="6"/>
  <c r="AD146" i="6"/>
  <c r="Y146" i="6"/>
  <c r="AI145" i="6"/>
  <c r="AD145" i="6"/>
  <c r="Y145" i="6"/>
  <c r="AI144" i="6"/>
  <c r="AD144" i="6"/>
  <c r="Y144" i="6"/>
  <c r="AI143" i="6"/>
  <c r="AD143" i="6"/>
  <c r="Y143" i="6"/>
  <c r="AI142" i="6"/>
  <c r="AD142" i="6"/>
  <c r="Y142" i="6"/>
  <c r="AI140" i="6"/>
  <c r="AD140" i="6"/>
  <c r="Y140" i="6"/>
  <c r="AI139" i="6"/>
  <c r="AD139" i="6"/>
  <c r="Y139" i="6"/>
  <c r="AI138" i="6"/>
  <c r="AD138" i="6"/>
  <c r="Y138" i="6"/>
  <c r="AI137" i="6"/>
  <c r="AD137" i="6"/>
  <c r="Y137" i="6"/>
  <c r="AI134" i="6"/>
  <c r="AD134" i="6"/>
  <c r="Y134" i="6"/>
  <c r="AI133" i="6"/>
  <c r="AD133" i="6"/>
  <c r="Y133" i="6"/>
  <c r="W121" i="6"/>
  <c r="W124" i="6"/>
  <c r="AI131" i="6" l="1"/>
  <c r="AD131" i="6"/>
  <c r="Y131" i="6"/>
  <c r="AI130" i="6"/>
  <c r="AD130" i="6"/>
  <c r="Y130" i="6"/>
  <c r="AI129" i="6"/>
  <c r="AD129" i="6"/>
  <c r="Y129" i="6"/>
  <c r="AI128" i="6"/>
  <c r="AD128" i="6"/>
  <c r="Y128" i="6"/>
  <c r="AI127" i="6"/>
  <c r="AD127" i="6"/>
  <c r="Y127" i="6"/>
  <c r="AI125" i="6"/>
  <c r="AD125" i="6"/>
  <c r="Y125" i="6"/>
  <c r="AI124" i="6"/>
  <c r="AD124" i="6"/>
  <c r="Y124" i="6"/>
  <c r="AI123" i="6"/>
  <c r="AD123" i="6"/>
  <c r="Y123" i="6"/>
  <c r="AI122" i="6"/>
  <c r="AD122" i="6"/>
  <c r="Y122" i="6"/>
  <c r="AI121" i="6"/>
  <c r="AD121" i="6"/>
  <c r="Y121" i="6"/>
  <c r="AI120" i="6"/>
  <c r="AD120" i="6"/>
  <c r="Y120" i="6"/>
  <c r="AI119" i="6"/>
  <c r="AD119" i="6"/>
  <c r="Y119" i="6"/>
  <c r="AI118" i="6"/>
  <c r="AD118" i="6"/>
  <c r="Y118" i="6"/>
  <c r="AI117" i="6"/>
  <c r="AD117" i="6"/>
  <c r="Y117" i="6"/>
  <c r="AI116" i="6"/>
  <c r="AD116" i="6"/>
  <c r="Y116" i="6"/>
  <c r="AI115" i="6"/>
  <c r="AD115" i="6"/>
  <c r="Y115" i="6"/>
  <c r="AI114" i="6"/>
  <c r="AD114" i="6"/>
  <c r="Y114" i="6"/>
  <c r="AI113" i="6"/>
  <c r="AD113" i="6"/>
  <c r="Y113" i="6"/>
  <c r="AI29" i="6"/>
  <c r="AD29" i="6"/>
  <c r="Y29" i="6"/>
  <c r="AI28" i="6"/>
  <c r="AD28" i="6"/>
  <c r="Y28" i="6"/>
  <c r="AI27" i="6"/>
  <c r="AD27" i="6"/>
  <c r="Y27" i="6"/>
  <c r="AI26" i="6"/>
  <c r="AD26" i="6"/>
  <c r="Y26" i="6"/>
  <c r="Y24" i="6"/>
  <c r="AI23" i="6"/>
  <c r="AD23" i="6"/>
  <c r="Y23" i="6"/>
  <c r="Y22" i="6"/>
  <c r="AI21" i="6"/>
  <c r="AD21" i="6"/>
  <c r="Y21" i="6"/>
  <c r="Y19" i="6"/>
  <c r="AI18" i="6"/>
  <c r="AD18" i="6"/>
  <c r="Y18" i="6"/>
  <c r="Y17" i="6"/>
  <c r="AI16" i="6"/>
  <c r="AD16" i="6"/>
  <c r="Y16" i="6"/>
  <c r="Y12" i="6"/>
  <c r="AD12" i="6"/>
  <c r="AI12" i="6"/>
  <c r="Y13" i="6"/>
  <c r="R141" i="6" l="1"/>
  <c r="H141" i="6" s="1"/>
  <c r="R135" i="6"/>
  <c r="H135" i="6" s="1"/>
  <c r="R116" i="6"/>
  <c r="H116" i="6" s="1"/>
  <c r="R119" i="6"/>
  <c r="H119" i="6" s="1"/>
  <c r="R124" i="6"/>
  <c r="H124" i="6" s="1"/>
  <c r="R121" i="6"/>
  <c r="H121" i="6" s="1"/>
  <c r="W108" i="6"/>
  <c r="W106" i="6" s="1"/>
  <c r="R21" i="6" l="1"/>
  <c r="H21" i="6" s="1"/>
  <c r="R12" i="6"/>
  <c r="H12" i="6" s="1"/>
  <c r="R102" i="6"/>
  <c r="H102" i="6" s="1"/>
  <c r="R103" i="6"/>
  <c r="H103" i="6" s="1"/>
  <c r="W36" i="6"/>
  <c r="W31" i="6" s="1"/>
  <c r="R108" i="6"/>
  <c r="R106" i="6" l="1"/>
  <c r="H106" i="6" s="1"/>
  <c r="H108" i="6"/>
  <c r="T36" i="6"/>
  <c r="R97" i="6"/>
  <c r="AL42" i="6"/>
  <c r="AL30" i="6" s="1"/>
  <c r="AI69" i="6"/>
  <c r="AI68" i="6" s="1"/>
  <c r="AD69" i="6"/>
  <c r="AD68" i="6" s="1"/>
  <c r="Y69" i="6"/>
  <c r="Y68" i="6" s="1"/>
  <c r="T69" i="6"/>
  <c r="T68" i="6" s="1"/>
  <c r="O69" i="6"/>
  <c r="O68" i="6" s="1"/>
  <c r="J69" i="6"/>
  <c r="J68" i="6" s="1"/>
  <c r="E69" i="6" l="1"/>
  <c r="E68" i="6" s="1"/>
  <c r="R16" i="6"/>
  <c r="H16" i="6" s="1"/>
  <c r="R140" i="6" l="1"/>
  <c r="R149" i="6"/>
  <c r="W96" i="6"/>
  <c r="W95" i="6" s="1"/>
  <c r="R96" i="6"/>
  <c r="R95" i="6" s="1"/>
  <c r="R28" i="6" l="1"/>
  <c r="H28" i="6" s="1"/>
  <c r="R26" i="6"/>
  <c r="H26" i="6" s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R122" i="6" l="1"/>
  <c r="H122" i="6" s="1"/>
  <c r="R142" i="6"/>
  <c r="R129" i="6"/>
  <c r="R162" i="6"/>
  <c r="R146" i="6"/>
  <c r="H146" i="6" s="1"/>
  <c r="R127" i="6"/>
  <c r="H127" i="6" s="1"/>
  <c r="R123" i="6"/>
  <c r="H123" i="6" s="1"/>
  <c r="R151" i="6" l="1"/>
  <c r="H162" i="6"/>
  <c r="R132" i="6"/>
  <c r="R37" i="6" l="1"/>
  <c r="AI169" i="6"/>
  <c r="AD169" i="6"/>
  <c r="Y169" i="6"/>
  <c r="T169" i="6"/>
  <c r="O169" i="6"/>
  <c r="G169" i="6"/>
  <c r="F169" i="6"/>
  <c r="AI168" i="6"/>
  <c r="AD168" i="6"/>
  <c r="Y168" i="6"/>
  <c r="T168" i="6"/>
  <c r="O168" i="6"/>
  <c r="G168" i="6"/>
  <c r="F168" i="6"/>
  <c r="AI167" i="6"/>
  <c r="AD167" i="6"/>
  <c r="Y167" i="6"/>
  <c r="T167" i="6"/>
  <c r="O167" i="6"/>
  <c r="J167" i="6"/>
  <c r="I167" i="6"/>
  <c r="G167" i="6"/>
  <c r="F167" i="6"/>
  <c r="AI166" i="6"/>
  <c r="AD166" i="6"/>
  <c r="Y166" i="6"/>
  <c r="T166" i="6"/>
  <c r="O166" i="6"/>
  <c r="J166" i="6"/>
  <c r="I166" i="6"/>
  <c r="G166" i="6"/>
  <c r="F166" i="6"/>
  <c r="AI165" i="6"/>
  <c r="AD165" i="6"/>
  <c r="Y165" i="6"/>
  <c r="T165" i="6"/>
  <c r="O165" i="6"/>
  <c r="J165" i="6"/>
  <c r="I165" i="6"/>
  <c r="G165" i="6"/>
  <c r="F165" i="6"/>
  <c r="AI163" i="6"/>
  <c r="AD163" i="6"/>
  <c r="Y163" i="6"/>
  <c r="T163" i="6"/>
  <c r="O163" i="6"/>
  <c r="J163" i="6"/>
  <c r="I163" i="6"/>
  <c r="G163" i="6"/>
  <c r="F163" i="6"/>
  <c r="AI162" i="6"/>
  <c r="AD162" i="6"/>
  <c r="Y162" i="6"/>
  <c r="T162" i="6"/>
  <c r="O162" i="6"/>
  <c r="J162" i="6"/>
  <c r="I162" i="6"/>
  <c r="G162" i="6"/>
  <c r="F162" i="6"/>
  <c r="AI161" i="6"/>
  <c r="AD161" i="6"/>
  <c r="Y161" i="6"/>
  <c r="T161" i="6"/>
  <c r="O161" i="6"/>
  <c r="J161" i="6"/>
  <c r="I161" i="6"/>
  <c r="G161" i="6"/>
  <c r="F161" i="6"/>
  <c r="AI160" i="6"/>
  <c r="AD160" i="6"/>
  <c r="Y160" i="6"/>
  <c r="T160" i="6"/>
  <c r="O160" i="6"/>
  <c r="J160" i="6"/>
  <c r="I160" i="6"/>
  <c r="G160" i="6"/>
  <c r="F160" i="6"/>
  <c r="AI159" i="6"/>
  <c r="AD159" i="6"/>
  <c r="Y159" i="6"/>
  <c r="T159" i="6"/>
  <c r="O159" i="6"/>
  <c r="J159" i="6"/>
  <c r="I159" i="6"/>
  <c r="G159" i="6"/>
  <c r="F159" i="6"/>
  <c r="AI158" i="6"/>
  <c r="AD158" i="6"/>
  <c r="Y158" i="6"/>
  <c r="T158" i="6"/>
  <c r="O158" i="6"/>
  <c r="J158" i="6"/>
  <c r="I158" i="6"/>
  <c r="G158" i="6"/>
  <c r="F158" i="6"/>
  <c r="AI157" i="6"/>
  <c r="AD157" i="6"/>
  <c r="Y157" i="6"/>
  <c r="T157" i="6"/>
  <c r="O157" i="6"/>
  <c r="M157" i="6"/>
  <c r="H157" i="6" s="1"/>
  <c r="I157" i="6"/>
  <c r="G157" i="6"/>
  <c r="F157" i="6"/>
  <c r="AI156" i="6"/>
  <c r="AD156" i="6"/>
  <c r="Y156" i="6"/>
  <c r="T156" i="6"/>
  <c r="O156" i="6"/>
  <c r="M156" i="6"/>
  <c r="I156" i="6"/>
  <c r="G156" i="6"/>
  <c r="F156" i="6"/>
  <c r="AI155" i="6"/>
  <c r="AD155" i="6"/>
  <c r="Y155" i="6"/>
  <c r="T155" i="6"/>
  <c r="O155" i="6"/>
  <c r="J155" i="6"/>
  <c r="I155" i="6"/>
  <c r="G155" i="6"/>
  <c r="F155" i="6"/>
  <c r="AI154" i="6"/>
  <c r="AD154" i="6"/>
  <c r="Y154" i="6"/>
  <c r="T154" i="6"/>
  <c r="O154" i="6"/>
  <c r="M154" i="6"/>
  <c r="H154" i="6" s="1"/>
  <c r="I154" i="6"/>
  <c r="G154" i="6"/>
  <c r="F154" i="6"/>
  <c r="AI153" i="6"/>
  <c r="AD153" i="6"/>
  <c r="Y153" i="6"/>
  <c r="T153" i="6"/>
  <c r="O153" i="6"/>
  <c r="J153" i="6"/>
  <c r="I153" i="6"/>
  <c r="G153" i="6"/>
  <c r="F153" i="6"/>
  <c r="AI152" i="6"/>
  <c r="AD152" i="6"/>
  <c r="Y152" i="6"/>
  <c r="T152" i="6"/>
  <c r="O152" i="6"/>
  <c r="J152" i="6"/>
  <c r="I152" i="6"/>
  <c r="G152" i="6"/>
  <c r="F152" i="6"/>
  <c r="T150" i="6"/>
  <c r="O150" i="6"/>
  <c r="G150" i="6"/>
  <c r="F150" i="6"/>
  <c r="T149" i="6"/>
  <c r="O149" i="6"/>
  <c r="M149" i="6"/>
  <c r="H149" i="6" s="1"/>
  <c r="I149" i="6"/>
  <c r="G149" i="6"/>
  <c r="F149" i="6"/>
  <c r="T148" i="6"/>
  <c r="O148" i="6"/>
  <c r="M148" i="6"/>
  <c r="I148" i="6"/>
  <c r="G148" i="6"/>
  <c r="F148" i="6"/>
  <c r="T147" i="6"/>
  <c r="O147" i="6"/>
  <c r="M147" i="6"/>
  <c r="H147" i="6" s="1"/>
  <c r="I147" i="6"/>
  <c r="G147" i="6"/>
  <c r="F147" i="6"/>
  <c r="T146" i="6"/>
  <c r="O146" i="6"/>
  <c r="J146" i="6"/>
  <c r="I146" i="6"/>
  <c r="G146" i="6"/>
  <c r="F146" i="6"/>
  <c r="T145" i="6"/>
  <c r="O145" i="6"/>
  <c r="M145" i="6"/>
  <c r="H145" i="6" s="1"/>
  <c r="I145" i="6"/>
  <c r="G145" i="6"/>
  <c r="F145" i="6"/>
  <c r="T144" i="6"/>
  <c r="O144" i="6"/>
  <c r="M144" i="6"/>
  <c r="I144" i="6"/>
  <c r="G144" i="6"/>
  <c r="F144" i="6"/>
  <c r="T143" i="6"/>
  <c r="O143" i="6"/>
  <c r="M143" i="6"/>
  <c r="H143" i="6" s="1"/>
  <c r="I143" i="6"/>
  <c r="G143" i="6"/>
  <c r="F143" i="6"/>
  <c r="T142" i="6"/>
  <c r="O142" i="6"/>
  <c r="M142" i="6"/>
  <c r="I142" i="6"/>
  <c r="G142" i="6"/>
  <c r="F142" i="6"/>
  <c r="AI141" i="6"/>
  <c r="AD141" i="6"/>
  <c r="Y141" i="6"/>
  <c r="T141" i="6"/>
  <c r="O141" i="6"/>
  <c r="J141" i="6"/>
  <c r="I141" i="6"/>
  <c r="G141" i="6"/>
  <c r="F141" i="6"/>
  <c r="T140" i="6"/>
  <c r="O140" i="6"/>
  <c r="M140" i="6"/>
  <c r="H140" i="6" s="1"/>
  <c r="I140" i="6"/>
  <c r="G140" i="6"/>
  <c r="F140" i="6"/>
  <c r="T139" i="6"/>
  <c r="O139" i="6"/>
  <c r="J139" i="6"/>
  <c r="I139" i="6"/>
  <c r="G139" i="6"/>
  <c r="F139" i="6"/>
  <c r="T138" i="6"/>
  <c r="O138" i="6"/>
  <c r="M138" i="6"/>
  <c r="H138" i="6" s="1"/>
  <c r="I138" i="6"/>
  <c r="G138" i="6"/>
  <c r="F138" i="6"/>
  <c r="T137" i="6"/>
  <c r="O137" i="6"/>
  <c r="M137" i="6"/>
  <c r="H137" i="6" s="1"/>
  <c r="I137" i="6"/>
  <c r="G137" i="6"/>
  <c r="F137" i="6"/>
  <c r="AI135" i="6"/>
  <c r="AD135" i="6"/>
  <c r="Y135" i="6"/>
  <c r="T135" i="6"/>
  <c r="O135" i="6"/>
  <c r="G135" i="6"/>
  <c r="F135" i="6"/>
  <c r="T134" i="6"/>
  <c r="O134" i="6"/>
  <c r="M134" i="6"/>
  <c r="H134" i="6" s="1"/>
  <c r="I134" i="6"/>
  <c r="G134" i="6"/>
  <c r="F134" i="6"/>
  <c r="T133" i="6"/>
  <c r="O133" i="6"/>
  <c r="J133" i="6"/>
  <c r="I133" i="6"/>
  <c r="G133" i="6"/>
  <c r="F133" i="6"/>
  <c r="AM132" i="6"/>
  <c r="AL132" i="6"/>
  <c r="AK132" i="6"/>
  <c r="AJ132" i="6"/>
  <c r="AH132" i="6"/>
  <c r="AG132" i="6"/>
  <c r="AF132" i="6"/>
  <c r="AE132" i="6"/>
  <c r="AC132" i="6"/>
  <c r="AA132" i="6"/>
  <c r="Z132" i="6"/>
  <c r="X132" i="6"/>
  <c r="W132" i="6"/>
  <c r="V132" i="6"/>
  <c r="U132" i="6"/>
  <c r="S132" i="6"/>
  <c r="Q132" i="6"/>
  <c r="P132" i="6"/>
  <c r="N132" i="6"/>
  <c r="L132" i="6"/>
  <c r="K132" i="6"/>
  <c r="T131" i="6"/>
  <c r="O131" i="6"/>
  <c r="G131" i="6"/>
  <c r="F131" i="6"/>
  <c r="T130" i="6"/>
  <c r="O130" i="6"/>
  <c r="M130" i="6"/>
  <c r="I130" i="6"/>
  <c r="G130" i="6"/>
  <c r="F130" i="6"/>
  <c r="T129" i="6"/>
  <c r="O129" i="6"/>
  <c r="M129" i="6"/>
  <c r="H129" i="6" s="1"/>
  <c r="I129" i="6"/>
  <c r="G129" i="6"/>
  <c r="F129" i="6"/>
  <c r="T128" i="6"/>
  <c r="O128" i="6"/>
  <c r="J128" i="6"/>
  <c r="I128" i="6"/>
  <c r="G128" i="6"/>
  <c r="F128" i="6"/>
  <c r="T127" i="6"/>
  <c r="O127" i="6"/>
  <c r="J127" i="6"/>
  <c r="I127" i="6"/>
  <c r="G127" i="6"/>
  <c r="F127" i="6"/>
  <c r="T125" i="6"/>
  <c r="O125" i="6"/>
  <c r="J125" i="6"/>
  <c r="I125" i="6"/>
  <c r="G125" i="6"/>
  <c r="F125" i="6"/>
  <c r="T124" i="6"/>
  <c r="O124" i="6"/>
  <c r="J124" i="6"/>
  <c r="I124" i="6"/>
  <c r="G124" i="6"/>
  <c r="F124" i="6"/>
  <c r="T123" i="6"/>
  <c r="O123" i="6"/>
  <c r="J123" i="6"/>
  <c r="I123" i="6"/>
  <c r="G123" i="6"/>
  <c r="F123" i="6"/>
  <c r="T122" i="6"/>
  <c r="O122" i="6"/>
  <c r="J122" i="6"/>
  <c r="I122" i="6"/>
  <c r="G122" i="6"/>
  <c r="F122" i="6"/>
  <c r="T121" i="6"/>
  <c r="R112" i="6"/>
  <c r="O121" i="6"/>
  <c r="J121" i="6"/>
  <c r="I121" i="6"/>
  <c r="G121" i="6"/>
  <c r="F121" i="6"/>
  <c r="T120" i="6"/>
  <c r="O120" i="6"/>
  <c r="J120" i="6"/>
  <c r="I120" i="6"/>
  <c r="G120" i="6"/>
  <c r="F120" i="6"/>
  <c r="T119" i="6"/>
  <c r="O119" i="6"/>
  <c r="J119" i="6"/>
  <c r="I119" i="6"/>
  <c r="G119" i="6"/>
  <c r="F119" i="6"/>
  <c r="T118" i="6"/>
  <c r="O118" i="6"/>
  <c r="J118" i="6"/>
  <c r="I118" i="6"/>
  <c r="G118" i="6"/>
  <c r="F118" i="6"/>
  <c r="T117" i="6"/>
  <c r="O117" i="6"/>
  <c r="J117" i="6"/>
  <c r="I117" i="6"/>
  <c r="G117" i="6"/>
  <c r="F117" i="6"/>
  <c r="T116" i="6"/>
  <c r="O116" i="6"/>
  <c r="J116" i="6"/>
  <c r="G116" i="6"/>
  <c r="F116" i="6"/>
  <c r="T115" i="6"/>
  <c r="O115" i="6"/>
  <c r="G115" i="6"/>
  <c r="F115" i="6"/>
  <c r="T114" i="6"/>
  <c r="O114" i="6"/>
  <c r="J114" i="6"/>
  <c r="I114" i="6"/>
  <c r="G114" i="6"/>
  <c r="F114" i="6"/>
  <c r="T113" i="6"/>
  <c r="O113" i="6"/>
  <c r="J113" i="6"/>
  <c r="I113" i="6"/>
  <c r="G113" i="6"/>
  <c r="F113" i="6"/>
  <c r="AM112" i="6"/>
  <c r="AL112" i="6"/>
  <c r="AK112" i="6"/>
  <c r="AJ112" i="6"/>
  <c r="AH112" i="6"/>
  <c r="AF112" i="6"/>
  <c r="AE112" i="6"/>
  <c r="AC112" i="6"/>
  <c r="AA112" i="6"/>
  <c r="Z112" i="6"/>
  <c r="X112" i="6"/>
  <c r="W112" i="6"/>
  <c r="V112" i="6"/>
  <c r="U112" i="6"/>
  <c r="S112" i="6"/>
  <c r="Q112" i="6"/>
  <c r="P112" i="6"/>
  <c r="N112" i="6"/>
  <c r="L112" i="6"/>
  <c r="K112" i="6"/>
  <c r="AI108" i="6"/>
  <c r="AD108" i="6"/>
  <c r="Y108" i="6"/>
  <c r="T108" i="6"/>
  <c r="O108" i="6"/>
  <c r="J108" i="6"/>
  <c r="E108" i="6"/>
  <c r="AI107" i="6"/>
  <c r="AD107" i="6"/>
  <c r="Y107" i="6"/>
  <c r="T107" i="6"/>
  <c r="O107" i="6"/>
  <c r="J107" i="6"/>
  <c r="E107" i="6"/>
  <c r="AL101" i="6"/>
  <c r="AK101" i="6"/>
  <c r="AJ101" i="6"/>
  <c r="AG101" i="6"/>
  <c r="M31" i="3" s="1"/>
  <c r="AF101" i="6"/>
  <c r="M30" i="3" s="1"/>
  <c r="AE101" i="6"/>
  <c r="AB101" i="6"/>
  <c r="J31" i="3" s="1"/>
  <c r="AA101" i="6"/>
  <c r="J30" i="3" s="1"/>
  <c r="Z101" i="6"/>
  <c r="W101" i="6"/>
  <c r="G31" i="3" s="1"/>
  <c r="V101" i="6"/>
  <c r="G30" i="3" s="1"/>
  <c r="U101" i="6"/>
  <c r="S101" i="6"/>
  <c r="F32" i="3" s="1"/>
  <c r="Q101" i="6"/>
  <c r="F30" i="3" s="1"/>
  <c r="P101" i="6"/>
  <c r="N101" i="6"/>
  <c r="E32" i="3" s="1"/>
  <c r="L101" i="6"/>
  <c r="E30" i="3" s="1"/>
  <c r="K101" i="6"/>
  <c r="I106" i="6"/>
  <c r="G106" i="6"/>
  <c r="F106" i="6"/>
  <c r="Y105" i="6"/>
  <c r="T105" i="6"/>
  <c r="O105" i="6"/>
  <c r="M105" i="6"/>
  <c r="H105" i="6" s="1"/>
  <c r="I105" i="6"/>
  <c r="G105" i="6"/>
  <c r="F105" i="6"/>
  <c r="Y104" i="6"/>
  <c r="T104" i="6"/>
  <c r="O104" i="6"/>
  <c r="J104" i="6"/>
  <c r="I104" i="6"/>
  <c r="G104" i="6"/>
  <c r="F104" i="6"/>
  <c r="Y103" i="6"/>
  <c r="T103" i="6"/>
  <c r="O103" i="6"/>
  <c r="J103" i="6"/>
  <c r="I103" i="6"/>
  <c r="G103" i="6"/>
  <c r="F103" i="6"/>
  <c r="Y102" i="6"/>
  <c r="T102" i="6"/>
  <c r="O102" i="6"/>
  <c r="J102" i="6"/>
  <c r="I102" i="6"/>
  <c r="G102" i="6"/>
  <c r="F102" i="6"/>
  <c r="AM101" i="6"/>
  <c r="AH101" i="6"/>
  <c r="M32" i="3" s="1"/>
  <c r="AC101" i="6"/>
  <c r="J32" i="3" s="1"/>
  <c r="X101" i="6"/>
  <c r="G32" i="3" s="1"/>
  <c r="AI99" i="6"/>
  <c r="AI95" i="6" s="1"/>
  <c r="AD99" i="6"/>
  <c r="AD95" i="6" s="1"/>
  <c r="Y99" i="6"/>
  <c r="T99" i="6"/>
  <c r="O99" i="6"/>
  <c r="J99" i="6"/>
  <c r="I99" i="6"/>
  <c r="G99" i="6"/>
  <c r="F99" i="6"/>
  <c r="Y98" i="6"/>
  <c r="T98" i="6"/>
  <c r="O98" i="6"/>
  <c r="M98" i="6"/>
  <c r="H98" i="6" s="1"/>
  <c r="I98" i="6"/>
  <c r="G98" i="6"/>
  <c r="F98" i="6"/>
  <c r="Y97" i="6"/>
  <c r="T97" i="6"/>
  <c r="O97" i="6"/>
  <c r="M97" i="6"/>
  <c r="I97" i="6"/>
  <c r="G97" i="6"/>
  <c r="F97" i="6"/>
  <c r="Y96" i="6"/>
  <c r="T96" i="6"/>
  <c r="O96" i="6"/>
  <c r="M96" i="6"/>
  <c r="I96" i="6"/>
  <c r="G96" i="6"/>
  <c r="F96" i="6"/>
  <c r="M28" i="3"/>
  <c r="M27" i="3"/>
  <c r="M26" i="3"/>
  <c r="J28" i="3"/>
  <c r="J27" i="3"/>
  <c r="J26" i="3"/>
  <c r="G28" i="3"/>
  <c r="G27" i="3"/>
  <c r="G26" i="3"/>
  <c r="F28" i="3"/>
  <c r="F27" i="3"/>
  <c r="F26" i="3"/>
  <c r="E28" i="3"/>
  <c r="E26" i="3"/>
  <c r="Y94" i="6"/>
  <c r="T94" i="6"/>
  <c r="O94" i="6"/>
  <c r="J94" i="6"/>
  <c r="I94" i="6"/>
  <c r="G94" i="6"/>
  <c r="F94" i="6"/>
  <c r="Y93" i="6"/>
  <c r="T93" i="6"/>
  <c r="O93" i="6"/>
  <c r="J93" i="6"/>
  <c r="I93" i="6"/>
  <c r="G93" i="6"/>
  <c r="F93" i="6"/>
  <c r="AM92" i="6"/>
  <c r="AL92" i="6"/>
  <c r="AK92" i="6"/>
  <c r="AJ92" i="6"/>
  <c r="AH92" i="6"/>
  <c r="M24" i="3" s="1"/>
  <c r="AG92" i="6"/>
  <c r="M23" i="3" s="1"/>
  <c r="AF92" i="6"/>
  <c r="M22" i="3" s="1"/>
  <c r="AE92" i="6"/>
  <c r="AC92" i="6"/>
  <c r="J24" i="3" s="1"/>
  <c r="AB92" i="6"/>
  <c r="J23" i="3" s="1"/>
  <c r="AA92" i="6"/>
  <c r="J22" i="3" s="1"/>
  <c r="Z92" i="6"/>
  <c r="X92" i="6"/>
  <c r="G24" i="3" s="1"/>
  <c r="W92" i="6"/>
  <c r="G23" i="3" s="1"/>
  <c r="V92" i="6"/>
  <c r="G22" i="3" s="1"/>
  <c r="U92" i="6"/>
  <c r="S92" i="6"/>
  <c r="F24" i="3" s="1"/>
  <c r="R92" i="6"/>
  <c r="F23" i="3" s="1"/>
  <c r="Q92" i="6"/>
  <c r="F22" i="3" s="1"/>
  <c r="P92" i="6"/>
  <c r="N92" i="6"/>
  <c r="E24" i="3" s="1"/>
  <c r="M92" i="6"/>
  <c r="E23" i="3" s="1"/>
  <c r="L92" i="6"/>
  <c r="E22" i="3" s="1"/>
  <c r="K92" i="6"/>
  <c r="AI58" i="6"/>
  <c r="AI57" i="6" s="1"/>
  <c r="AD58" i="6"/>
  <c r="AD57" i="6" s="1"/>
  <c r="Y58" i="6"/>
  <c r="Y57" i="6" s="1"/>
  <c r="T58" i="6"/>
  <c r="T57" i="6" s="1"/>
  <c r="O58" i="6"/>
  <c r="O57" i="6" s="1"/>
  <c r="J58" i="6"/>
  <c r="J57" i="6" s="1"/>
  <c r="AK42" i="6"/>
  <c r="AK30" i="6" s="1"/>
  <c r="AJ42" i="6"/>
  <c r="AJ30" i="6" s="1"/>
  <c r="AG42" i="6"/>
  <c r="AG30" i="6" s="1"/>
  <c r="AF42" i="6"/>
  <c r="AF30" i="6" s="1"/>
  <c r="AE42" i="6"/>
  <c r="AE30" i="6" s="1"/>
  <c r="AC42" i="6"/>
  <c r="AC30" i="6" s="1"/>
  <c r="AA42" i="6"/>
  <c r="AA30" i="6" s="1"/>
  <c r="Z42" i="6"/>
  <c r="Z30" i="6" s="1"/>
  <c r="X42" i="6"/>
  <c r="X30" i="6" s="1"/>
  <c r="G20" i="3" s="1"/>
  <c r="V42" i="6"/>
  <c r="V30" i="6" s="1"/>
  <c r="U42" i="6"/>
  <c r="U30" i="6" s="1"/>
  <c r="S42" i="6"/>
  <c r="S30" i="6" s="1"/>
  <c r="Q42" i="6"/>
  <c r="Q30" i="6" s="1"/>
  <c r="P42" i="6"/>
  <c r="P30" i="6" s="1"/>
  <c r="N42" i="6"/>
  <c r="N30" i="6" s="1"/>
  <c r="M42" i="6"/>
  <c r="L42" i="6"/>
  <c r="L30" i="6" s="1"/>
  <c r="K42" i="6"/>
  <c r="K30" i="6" s="1"/>
  <c r="I42" i="6"/>
  <c r="AI44" i="6"/>
  <c r="AI43" i="6" s="1"/>
  <c r="AD44" i="6"/>
  <c r="AD43" i="6" s="1"/>
  <c r="Y44" i="6"/>
  <c r="Y43" i="6" s="1"/>
  <c r="T44" i="6"/>
  <c r="T43" i="6" s="1"/>
  <c r="R44" i="6"/>
  <c r="R43" i="6" s="1"/>
  <c r="J44" i="6"/>
  <c r="J43" i="6" s="1"/>
  <c r="G44" i="6"/>
  <c r="G43" i="6" s="1"/>
  <c r="F44" i="6"/>
  <c r="F43" i="6" s="1"/>
  <c r="M38" i="6"/>
  <c r="AI37" i="6"/>
  <c r="AD37" i="6"/>
  <c r="J37" i="6"/>
  <c r="AI36" i="6"/>
  <c r="AD36" i="6"/>
  <c r="O36" i="6"/>
  <c r="M36" i="6"/>
  <c r="H36" i="6" s="1"/>
  <c r="I36" i="6"/>
  <c r="G36" i="6"/>
  <c r="F36" i="6"/>
  <c r="Y35" i="6"/>
  <c r="T35" i="6"/>
  <c r="O35" i="6"/>
  <c r="M35" i="6"/>
  <c r="H35" i="6" s="1"/>
  <c r="G35" i="6"/>
  <c r="F35" i="6"/>
  <c r="AI33" i="6"/>
  <c r="AD33" i="6"/>
  <c r="Y33" i="6"/>
  <c r="T33" i="6"/>
  <c r="O33" i="6"/>
  <c r="J33" i="6"/>
  <c r="E33" i="6"/>
  <c r="Y32" i="6"/>
  <c r="T32" i="6"/>
  <c r="O32" i="6"/>
  <c r="M32" i="6"/>
  <c r="J20" i="3"/>
  <c r="T29" i="6"/>
  <c r="O29" i="6"/>
  <c r="J29" i="6"/>
  <c r="E29" i="6"/>
  <c r="T28" i="6"/>
  <c r="O28" i="6"/>
  <c r="J28" i="6"/>
  <c r="I28" i="6"/>
  <c r="G28" i="6"/>
  <c r="F28" i="6"/>
  <c r="T27" i="6"/>
  <c r="O27" i="6"/>
  <c r="J27" i="6"/>
  <c r="I27" i="6"/>
  <c r="G27" i="6"/>
  <c r="F27" i="6"/>
  <c r="T26" i="6"/>
  <c r="O26" i="6"/>
  <c r="J26" i="6"/>
  <c r="I26" i="6"/>
  <c r="G26" i="6"/>
  <c r="F26" i="6"/>
  <c r="AM25" i="6"/>
  <c r="AL25" i="6"/>
  <c r="AK25" i="6"/>
  <c r="AJ25" i="6"/>
  <c r="AH25" i="6"/>
  <c r="AG25" i="6"/>
  <c r="AF25" i="6"/>
  <c r="AE25" i="6"/>
  <c r="AC25" i="6"/>
  <c r="AB25" i="6"/>
  <c r="AA25" i="6"/>
  <c r="Z25" i="6"/>
  <c r="X25" i="6"/>
  <c r="W25" i="6"/>
  <c r="V25" i="6"/>
  <c r="U25" i="6"/>
  <c r="S25" i="6"/>
  <c r="R25" i="6"/>
  <c r="Q25" i="6"/>
  <c r="P25" i="6"/>
  <c r="N25" i="6"/>
  <c r="M25" i="6"/>
  <c r="L25" i="6"/>
  <c r="K25" i="6"/>
  <c r="T24" i="6"/>
  <c r="O24" i="6"/>
  <c r="J24" i="6"/>
  <c r="I24" i="6"/>
  <c r="G24" i="6"/>
  <c r="F24" i="6"/>
  <c r="T23" i="6"/>
  <c r="O23" i="6"/>
  <c r="J23" i="6"/>
  <c r="I23" i="6"/>
  <c r="G23" i="6"/>
  <c r="F23" i="6"/>
  <c r="T22" i="6"/>
  <c r="O22" i="6"/>
  <c r="J22" i="6"/>
  <c r="I22" i="6"/>
  <c r="G22" i="6"/>
  <c r="F22" i="6"/>
  <c r="T21" i="6"/>
  <c r="O21" i="6"/>
  <c r="J21" i="6"/>
  <c r="I21" i="6"/>
  <c r="G21" i="6"/>
  <c r="F21" i="6"/>
  <c r="AM20" i="6"/>
  <c r="AL20" i="6"/>
  <c r="AK20" i="6"/>
  <c r="AJ20" i="6"/>
  <c r="AH20" i="6"/>
  <c r="AG20" i="6"/>
  <c r="AF20" i="6"/>
  <c r="AE20" i="6"/>
  <c r="AC20" i="6"/>
  <c r="AB20" i="6"/>
  <c r="AA20" i="6"/>
  <c r="Z20" i="6"/>
  <c r="X20" i="6"/>
  <c r="W20" i="6"/>
  <c r="V20" i="6"/>
  <c r="U20" i="6"/>
  <c r="S20" i="6"/>
  <c r="R20" i="6"/>
  <c r="Q20" i="6"/>
  <c r="P20" i="6"/>
  <c r="N20" i="6"/>
  <c r="M20" i="6"/>
  <c r="L20" i="6"/>
  <c r="K20" i="6"/>
  <c r="T19" i="6"/>
  <c r="O19" i="6"/>
  <c r="J19" i="6"/>
  <c r="I19" i="6"/>
  <c r="G19" i="6"/>
  <c r="F19" i="6"/>
  <c r="T18" i="6"/>
  <c r="O18" i="6"/>
  <c r="M18" i="6"/>
  <c r="H18" i="6" s="1"/>
  <c r="I18" i="6"/>
  <c r="G18" i="6"/>
  <c r="F18" i="6"/>
  <c r="T17" i="6"/>
  <c r="O17" i="6"/>
  <c r="J17" i="6"/>
  <c r="I17" i="6"/>
  <c r="G17" i="6"/>
  <c r="F17" i="6"/>
  <c r="T16" i="6"/>
  <c r="O16" i="6"/>
  <c r="J16" i="6"/>
  <c r="I16" i="6"/>
  <c r="G16" i="6"/>
  <c r="F16" i="6"/>
  <c r="AM15" i="6"/>
  <c r="AL15" i="6"/>
  <c r="AK15" i="6"/>
  <c r="AJ15" i="6"/>
  <c r="AH15" i="6"/>
  <c r="AG15" i="6"/>
  <c r="AF15" i="6"/>
  <c r="AE15" i="6"/>
  <c r="AC15" i="6"/>
  <c r="AA15" i="6"/>
  <c r="Z15" i="6"/>
  <c r="X15" i="6"/>
  <c r="W15" i="6"/>
  <c r="V15" i="6"/>
  <c r="U15" i="6"/>
  <c r="S15" i="6"/>
  <c r="R15" i="6"/>
  <c r="Q15" i="6"/>
  <c r="P15" i="6"/>
  <c r="N15" i="6"/>
  <c r="L15" i="6"/>
  <c r="K15" i="6"/>
  <c r="AI14" i="6"/>
  <c r="AD14" i="6"/>
  <c r="Y14" i="6"/>
  <c r="T14" i="6"/>
  <c r="O14" i="6"/>
  <c r="M14" i="6"/>
  <c r="H14" i="6" s="1"/>
  <c r="I14" i="6"/>
  <c r="G14" i="6"/>
  <c r="T13" i="6"/>
  <c r="O13" i="6"/>
  <c r="M13" i="6"/>
  <c r="H13" i="6" s="1"/>
  <c r="I13" i="6"/>
  <c r="G13" i="6"/>
  <c r="F13" i="6"/>
  <c r="T12" i="6"/>
  <c r="O12" i="6"/>
  <c r="J12" i="6"/>
  <c r="I12" i="6"/>
  <c r="G12" i="6"/>
  <c r="F12" i="6"/>
  <c r="AM11" i="6"/>
  <c r="AK11" i="6"/>
  <c r="AJ11" i="6"/>
  <c r="AH11" i="6"/>
  <c r="AG11" i="6"/>
  <c r="AF11" i="6"/>
  <c r="AE11" i="6"/>
  <c r="AC11" i="6"/>
  <c r="AB11" i="6"/>
  <c r="AA11" i="6"/>
  <c r="Z11" i="6"/>
  <c r="X11" i="6"/>
  <c r="W11" i="6"/>
  <c r="V11" i="6"/>
  <c r="U11" i="6"/>
  <c r="S11" i="6"/>
  <c r="R11" i="6"/>
  <c r="Q11" i="6"/>
  <c r="P11" i="6"/>
  <c r="N11" i="6"/>
  <c r="L11" i="6"/>
  <c r="K11" i="6"/>
  <c r="Y31" i="6" l="1"/>
  <c r="AD31" i="6"/>
  <c r="H32" i="6"/>
  <c r="E32" i="6" s="1"/>
  <c r="M31" i="6"/>
  <c r="M30" i="6" s="1"/>
  <c r="T31" i="6"/>
  <c r="AI31" i="6"/>
  <c r="H37" i="6"/>
  <c r="R31" i="6"/>
  <c r="G31" i="6"/>
  <c r="F31" i="6"/>
  <c r="I31" i="6"/>
  <c r="I30" i="6" s="1"/>
  <c r="E106" i="6"/>
  <c r="F95" i="6"/>
  <c r="AD106" i="6"/>
  <c r="AH42" i="6"/>
  <c r="AH30" i="6" s="1"/>
  <c r="M20" i="3" s="1"/>
  <c r="AI42" i="6"/>
  <c r="O95" i="6"/>
  <c r="Y95" i="6"/>
  <c r="G95" i="6"/>
  <c r="I95" i="6"/>
  <c r="H96" i="6"/>
  <c r="E96" i="6" s="1"/>
  <c r="M95" i="6"/>
  <c r="E27" i="3" s="1"/>
  <c r="T95" i="6"/>
  <c r="J32" i="6"/>
  <c r="P26" i="3"/>
  <c r="P22" i="3"/>
  <c r="P32" i="3"/>
  <c r="S29" i="3"/>
  <c r="R30" i="3"/>
  <c r="R29" i="3" s="1"/>
  <c r="AI106" i="6"/>
  <c r="AI101" i="6" s="1"/>
  <c r="J142" i="6"/>
  <c r="H142" i="6"/>
  <c r="E142" i="6" s="1"/>
  <c r="P20" i="3"/>
  <c r="R18" i="3"/>
  <c r="S17" i="3"/>
  <c r="H44" i="6"/>
  <c r="H43" i="6" s="1"/>
  <c r="J144" i="6"/>
  <c r="H144" i="6"/>
  <c r="E144" i="6" s="1"/>
  <c r="T106" i="6"/>
  <c r="T101" i="6" s="1"/>
  <c r="P24" i="3"/>
  <c r="R22" i="3"/>
  <c r="R21" i="3" s="1"/>
  <c r="S21" i="3"/>
  <c r="J97" i="6"/>
  <c r="H97" i="6"/>
  <c r="E97" i="6" s="1"/>
  <c r="J156" i="6"/>
  <c r="H156" i="6"/>
  <c r="E156" i="6" s="1"/>
  <c r="J148" i="6"/>
  <c r="H148" i="6"/>
  <c r="E148" i="6" s="1"/>
  <c r="J130" i="6"/>
  <c r="H130" i="6"/>
  <c r="E130" i="6" s="1"/>
  <c r="J38" i="6"/>
  <c r="H38" i="6"/>
  <c r="E38" i="6" s="1"/>
  <c r="P28" i="3"/>
  <c r="R26" i="3"/>
  <c r="S25" i="3"/>
  <c r="Y106" i="6"/>
  <c r="Y101" i="6" s="1"/>
  <c r="J154" i="6"/>
  <c r="J106" i="6"/>
  <c r="O106" i="6"/>
  <c r="O101" i="6" s="1"/>
  <c r="P30" i="3"/>
  <c r="R101" i="6"/>
  <c r="F31" i="3" s="1"/>
  <c r="H101" i="6"/>
  <c r="P31" i="3"/>
  <c r="P23" i="3"/>
  <c r="D23" i="3" s="1"/>
  <c r="P27" i="3"/>
  <c r="J105" i="6"/>
  <c r="J134" i="6"/>
  <c r="E134" i="6"/>
  <c r="O37" i="6"/>
  <c r="O31" i="6" s="1"/>
  <c r="E37" i="6"/>
  <c r="J143" i="6"/>
  <c r="J140" i="6"/>
  <c r="J96" i="6"/>
  <c r="E13" i="6"/>
  <c r="H11" i="6"/>
  <c r="E14" i="6"/>
  <c r="AD42" i="6"/>
  <c r="AD30" i="6" s="1"/>
  <c r="J13" i="6"/>
  <c r="F42" i="6"/>
  <c r="T151" i="6"/>
  <c r="T42" i="6"/>
  <c r="T30" i="6" s="1"/>
  <c r="Y42" i="6"/>
  <c r="Y30" i="6" s="1"/>
  <c r="M15" i="6"/>
  <c r="H15" i="6"/>
  <c r="J42" i="6"/>
  <c r="E58" i="6"/>
  <c r="E57" i="6" s="1"/>
  <c r="J35" i="6"/>
  <c r="W42" i="6"/>
  <c r="E12" i="6"/>
  <c r="M151" i="6"/>
  <c r="R42" i="6"/>
  <c r="O151" i="6"/>
  <c r="G151" i="6"/>
  <c r="F151" i="6"/>
  <c r="E166" i="6"/>
  <c r="I151" i="6"/>
  <c r="Y151" i="6"/>
  <c r="AD151" i="6"/>
  <c r="AI151" i="6"/>
  <c r="E93" i="6"/>
  <c r="G42" i="6"/>
  <c r="J14" i="6"/>
  <c r="J137" i="6"/>
  <c r="E22" i="6"/>
  <c r="AM111" i="6"/>
  <c r="M132" i="6"/>
  <c r="E162" i="6"/>
  <c r="M101" i="6"/>
  <c r="E31" i="3" s="1"/>
  <c r="J18" i="6"/>
  <c r="J15" i="6" s="1"/>
  <c r="J129" i="6"/>
  <c r="E169" i="6"/>
  <c r="AD92" i="6"/>
  <c r="E158" i="6"/>
  <c r="E27" i="6"/>
  <c r="M112" i="6"/>
  <c r="J138" i="6"/>
  <c r="J157" i="6"/>
  <c r="E123" i="6"/>
  <c r="E115" i="6"/>
  <c r="E120" i="6"/>
  <c r="AH10" i="6"/>
  <c r="M16" i="3" s="1"/>
  <c r="AK10" i="6"/>
  <c r="O92" i="6"/>
  <c r="N10" i="6"/>
  <c r="E16" i="3" s="1"/>
  <c r="X10" i="6"/>
  <c r="G16" i="3" s="1"/>
  <c r="F92" i="6"/>
  <c r="X111" i="6"/>
  <c r="G36" i="3" s="1"/>
  <c r="AI25" i="6"/>
  <c r="T92" i="6"/>
  <c r="T25" i="6"/>
  <c r="AB10" i="6"/>
  <c r="J15" i="3" s="1"/>
  <c r="AL10" i="6"/>
  <c r="M35" i="3"/>
  <c r="I11" i="6"/>
  <c r="AC10" i="6"/>
  <c r="J16" i="3" s="1"/>
  <c r="AM10" i="6"/>
  <c r="E138" i="6"/>
  <c r="L10" i="6"/>
  <c r="E14" i="3" s="1"/>
  <c r="E19" i="6"/>
  <c r="E159" i="6"/>
  <c r="E152" i="6"/>
  <c r="E24" i="6"/>
  <c r="G92" i="6"/>
  <c r="AI92" i="6"/>
  <c r="E118" i="6"/>
  <c r="E127" i="6"/>
  <c r="E18" i="3"/>
  <c r="E103" i="6"/>
  <c r="E104" i="6"/>
  <c r="O11" i="6"/>
  <c r="AA10" i="6"/>
  <c r="J14" i="3" s="1"/>
  <c r="H25" i="6"/>
  <c r="E129" i="6"/>
  <c r="E140" i="6"/>
  <c r="S10" i="6"/>
  <c r="F16" i="3" s="1"/>
  <c r="Y11" i="6"/>
  <c r="M18" i="3"/>
  <c r="AH111" i="6"/>
  <c r="M36" i="3" s="1"/>
  <c r="E131" i="6"/>
  <c r="E155" i="6"/>
  <c r="E17" i="6"/>
  <c r="AI11" i="6"/>
  <c r="U10" i="6"/>
  <c r="M19" i="3"/>
  <c r="Z111" i="6"/>
  <c r="AJ111" i="6"/>
  <c r="E116" i="6"/>
  <c r="V111" i="6"/>
  <c r="G34" i="3" s="1"/>
  <c r="E141" i="6"/>
  <c r="V10" i="6"/>
  <c r="G14" i="3" s="1"/>
  <c r="P111" i="6"/>
  <c r="AA111" i="6"/>
  <c r="J34" i="3" s="1"/>
  <c r="AK111" i="6"/>
  <c r="O112" i="6"/>
  <c r="G35" i="3"/>
  <c r="E168" i="6"/>
  <c r="J92" i="6"/>
  <c r="F101" i="6"/>
  <c r="Q111" i="6"/>
  <c r="F34" i="3" s="1"/>
  <c r="J35" i="3"/>
  <c r="E117" i="6"/>
  <c r="AF10" i="6"/>
  <c r="M14" i="3" s="1"/>
  <c r="P19" i="3"/>
  <c r="W10" i="6"/>
  <c r="G15" i="3" s="1"/>
  <c r="AD15" i="6"/>
  <c r="I25" i="6"/>
  <c r="AD101" i="6"/>
  <c r="U111" i="6"/>
  <c r="T132" i="6"/>
  <c r="E150" i="6"/>
  <c r="AF111" i="6"/>
  <c r="M34" i="3" s="1"/>
  <c r="G15" i="6"/>
  <c r="AI15" i="6"/>
  <c r="T15" i="6"/>
  <c r="J25" i="6"/>
  <c r="Y92" i="6"/>
  <c r="E105" i="6"/>
  <c r="K111" i="6"/>
  <c r="N111" i="6"/>
  <c r="E36" i="3" s="1"/>
  <c r="AE10" i="6"/>
  <c r="E119" i="6"/>
  <c r="E137" i="6"/>
  <c r="I92" i="6"/>
  <c r="E98" i="6"/>
  <c r="E143" i="6"/>
  <c r="AE111" i="6"/>
  <c r="Y15" i="6"/>
  <c r="E23" i="6"/>
  <c r="Y20" i="6"/>
  <c r="F18" i="3"/>
  <c r="L111" i="6"/>
  <c r="E34" i="3" s="1"/>
  <c r="E114" i="6"/>
  <c r="E124" i="6"/>
  <c r="E145" i="6"/>
  <c r="E94" i="6"/>
  <c r="AC111" i="6"/>
  <c r="J36" i="3" s="1"/>
  <c r="P10" i="6"/>
  <c r="AD20" i="6"/>
  <c r="I20" i="6"/>
  <c r="E20" i="3"/>
  <c r="E125" i="6"/>
  <c r="E165" i="6"/>
  <c r="AI132" i="6"/>
  <c r="K10" i="6"/>
  <c r="S111" i="6"/>
  <c r="F36" i="3" s="1"/>
  <c r="E157" i="6"/>
  <c r="I15" i="6"/>
  <c r="AJ10" i="6"/>
  <c r="G20" i="6"/>
  <c r="AI20" i="6"/>
  <c r="T20" i="6"/>
  <c r="J20" i="6"/>
  <c r="E35" i="6"/>
  <c r="AI112" i="6"/>
  <c r="T112" i="6"/>
  <c r="E135" i="6"/>
  <c r="E139" i="6"/>
  <c r="E153" i="6"/>
  <c r="E161" i="6"/>
  <c r="E16" i="6"/>
  <c r="F15" i="6"/>
  <c r="I101" i="6"/>
  <c r="E133" i="6"/>
  <c r="M11" i="6"/>
  <c r="H20" i="6"/>
  <c r="I132" i="6"/>
  <c r="F132" i="6"/>
  <c r="AG10" i="6"/>
  <c r="M15" i="3" s="1"/>
  <c r="F11" i="6"/>
  <c r="E28" i="6"/>
  <c r="E36" i="6"/>
  <c r="G112" i="6"/>
  <c r="G132" i="6"/>
  <c r="AD132" i="6"/>
  <c r="E146" i="6"/>
  <c r="E167" i="6"/>
  <c r="G101" i="6"/>
  <c r="G11" i="6"/>
  <c r="AD11" i="6"/>
  <c r="H92" i="6"/>
  <c r="E113" i="6"/>
  <c r="E128" i="6"/>
  <c r="O132" i="6"/>
  <c r="J145" i="6"/>
  <c r="E21" i="6"/>
  <c r="F20" i="6"/>
  <c r="Y112" i="6"/>
  <c r="F35" i="3"/>
  <c r="E121" i="6"/>
  <c r="T11" i="6"/>
  <c r="Z10" i="6"/>
  <c r="Y25" i="6"/>
  <c r="F112" i="6"/>
  <c r="E163" i="6"/>
  <c r="E26" i="6"/>
  <c r="G25" i="6"/>
  <c r="O25" i="6"/>
  <c r="O44" i="6"/>
  <c r="O43" i="6" s="1"/>
  <c r="E102" i="6"/>
  <c r="J147" i="6"/>
  <c r="E147" i="6"/>
  <c r="Q10" i="6"/>
  <c r="F14" i="3" s="1"/>
  <c r="O15" i="6"/>
  <c r="O20" i="6"/>
  <c r="E99" i="6"/>
  <c r="I112" i="6"/>
  <c r="AD112" i="6"/>
  <c r="R10" i="6"/>
  <c r="F15" i="3" s="1"/>
  <c r="F25" i="6"/>
  <c r="AD25" i="6"/>
  <c r="J36" i="6"/>
  <c r="J98" i="6"/>
  <c r="E122" i="6"/>
  <c r="Y132" i="6"/>
  <c r="J149" i="6"/>
  <c r="E149" i="6"/>
  <c r="E160" i="6"/>
  <c r="M11" i="3" l="1"/>
  <c r="AI30" i="6"/>
  <c r="G30" i="6"/>
  <c r="R30" i="6"/>
  <c r="F30" i="6"/>
  <c r="W30" i="6"/>
  <c r="G19" i="3" s="1"/>
  <c r="G11" i="3" s="1"/>
  <c r="J31" i="6"/>
  <c r="E31" i="6"/>
  <c r="H31" i="6"/>
  <c r="D27" i="3"/>
  <c r="J95" i="6"/>
  <c r="H95" i="6"/>
  <c r="E95" i="6"/>
  <c r="J112" i="6"/>
  <c r="D31" i="3"/>
  <c r="P16" i="3"/>
  <c r="R14" i="3"/>
  <c r="R25" i="3"/>
  <c r="P14" i="3"/>
  <c r="Q25" i="3"/>
  <c r="Q21" i="3"/>
  <c r="J151" i="6"/>
  <c r="Q29" i="3"/>
  <c r="P36" i="3"/>
  <c r="R34" i="3"/>
  <c r="P35" i="3"/>
  <c r="P34" i="3"/>
  <c r="R17" i="3"/>
  <c r="P18" i="3"/>
  <c r="P15" i="3"/>
  <c r="J101" i="6"/>
  <c r="H151" i="6"/>
  <c r="E112" i="6"/>
  <c r="E92" i="6"/>
  <c r="J30" i="6"/>
  <c r="E11" i="6"/>
  <c r="J11" i="6"/>
  <c r="J10" i="6" s="1"/>
  <c r="O42" i="6"/>
  <c r="O30" i="6" s="1"/>
  <c r="M10" i="6"/>
  <c r="E15" i="3" s="1"/>
  <c r="H10" i="6"/>
  <c r="H42" i="6"/>
  <c r="E154" i="6"/>
  <c r="E151" i="6" s="1"/>
  <c r="E10" i="3"/>
  <c r="E35" i="3"/>
  <c r="AC9" i="6"/>
  <c r="AC175" i="6" s="1"/>
  <c r="F19" i="3"/>
  <c r="F11" i="3" s="1"/>
  <c r="E18" i="6"/>
  <c r="E15" i="6" s="1"/>
  <c r="X9" i="6"/>
  <c r="X175" i="6" s="1"/>
  <c r="AH9" i="6"/>
  <c r="AH175" i="6" s="1"/>
  <c r="AK9" i="6"/>
  <c r="I10" i="6"/>
  <c r="AI10" i="6"/>
  <c r="Y10" i="6"/>
  <c r="AM9" i="6"/>
  <c r="AM175" i="6" s="1"/>
  <c r="V9" i="6"/>
  <c r="G18" i="3"/>
  <c r="U9" i="6"/>
  <c r="J19" i="3"/>
  <c r="J11" i="3" s="1"/>
  <c r="AA9" i="6"/>
  <c r="J18" i="3"/>
  <c r="K9" i="6"/>
  <c r="S9" i="6"/>
  <c r="F20" i="3"/>
  <c r="P9" i="6"/>
  <c r="E101" i="6"/>
  <c r="E44" i="6"/>
  <c r="E43" i="6" s="1"/>
  <c r="L9" i="6"/>
  <c r="E25" i="6"/>
  <c r="T10" i="6"/>
  <c r="AJ9" i="6"/>
  <c r="AF9" i="6"/>
  <c r="E19" i="3"/>
  <c r="N9" i="6"/>
  <c r="AE9" i="6"/>
  <c r="O10" i="6"/>
  <c r="J132" i="6"/>
  <c r="Q9" i="6"/>
  <c r="G10" i="6"/>
  <c r="E20" i="6"/>
  <c r="AD10" i="6"/>
  <c r="F10" i="6"/>
  <c r="H112" i="6"/>
  <c r="E132" i="6"/>
  <c r="I111" i="6"/>
  <c r="Z9" i="6"/>
  <c r="H132" i="6"/>
  <c r="P11" i="3" l="1"/>
  <c r="H30" i="6"/>
  <c r="D15" i="3"/>
  <c r="D35" i="3"/>
  <c r="D19" i="3"/>
  <c r="S13" i="3"/>
  <c r="S9" i="3"/>
  <c r="R10" i="3"/>
  <c r="R9" i="3" s="1"/>
  <c r="R33" i="3"/>
  <c r="S33" i="3"/>
  <c r="Q33" i="3"/>
  <c r="Q17" i="3"/>
  <c r="Q13" i="3"/>
  <c r="R13" i="3"/>
  <c r="E42" i="6"/>
  <c r="E30" i="6" s="1"/>
  <c r="G17" i="3"/>
  <c r="T9" i="6"/>
  <c r="E10" i="6"/>
  <c r="AI9" i="6"/>
  <c r="AD9" i="6"/>
  <c r="Y9" i="6"/>
  <c r="F9" i="6"/>
  <c r="O9" i="6"/>
  <c r="J9" i="6"/>
  <c r="I9" i="6"/>
  <c r="G9" i="6"/>
  <c r="Q9" i="3" l="1"/>
  <c r="H10" i="3"/>
  <c r="I10" i="3"/>
  <c r="K10" i="3"/>
  <c r="L10" i="3"/>
  <c r="N10" i="3"/>
  <c r="O10" i="3"/>
  <c r="H12" i="3"/>
  <c r="I12" i="3"/>
  <c r="K12" i="3"/>
  <c r="L12" i="3"/>
  <c r="N12" i="3"/>
  <c r="O12" i="3"/>
  <c r="O33" i="3"/>
  <c r="N33" i="3"/>
  <c r="L33" i="3"/>
  <c r="K33" i="3"/>
  <c r="I33" i="3"/>
  <c r="H33" i="3"/>
  <c r="O29" i="3"/>
  <c r="N29" i="3"/>
  <c r="L29" i="3"/>
  <c r="K29" i="3"/>
  <c r="I29" i="3"/>
  <c r="H29" i="3"/>
  <c r="O25" i="3"/>
  <c r="N25" i="3"/>
  <c r="L25" i="3"/>
  <c r="K25" i="3"/>
  <c r="I25" i="3"/>
  <c r="H25" i="3"/>
  <c r="O21" i="3"/>
  <c r="N21" i="3"/>
  <c r="L21" i="3"/>
  <c r="K21" i="3"/>
  <c r="I21" i="3"/>
  <c r="H21" i="3"/>
  <c r="O17" i="3"/>
  <c r="N17" i="3"/>
  <c r="L17" i="3"/>
  <c r="K17" i="3"/>
  <c r="I17" i="3"/>
  <c r="H17" i="3"/>
  <c r="H13" i="3"/>
  <c r="I13" i="3"/>
  <c r="K13" i="3"/>
  <c r="L13" i="3"/>
  <c r="N13" i="3"/>
  <c r="O13" i="3"/>
  <c r="N9" i="3" l="1"/>
  <c r="I9" i="3"/>
  <c r="K9" i="3"/>
  <c r="F25" i="3"/>
  <c r="P33" i="3"/>
  <c r="M33" i="3"/>
  <c r="J33" i="3"/>
  <c r="G33" i="3"/>
  <c r="D34" i="3"/>
  <c r="D36" i="3"/>
  <c r="F33" i="3"/>
  <c r="E33" i="3"/>
  <c r="F29" i="3"/>
  <c r="G29" i="3"/>
  <c r="D32" i="3"/>
  <c r="J29" i="3"/>
  <c r="M29" i="3"/>
  <c r="P29" i="3"/>
  <c r="P25" i="3"/>
  <c r="D28" i="3"/>
  <c r="M25" i="3"/>
  <c r="J25" i="3"/>
  <c r="G25" i="3"/>
  <c r="D26" i="3"/>
  <c r="E25" i="3"/>
  <c r="E21" i="3"/>
  <c r="F21" i="3"/>
  <c r="D24" i="3"/>
  <c r="G21" i="3"/>
  <c r="J21" i="3"/>
  <c r="M21" i="3"/>
  <c r="D22" i="3"/>
  <c r="P21" i="3"/>
  <c r="E11" i="3"/>
  <c r="D11" i="3" s="1"/>
  <c r="H9" i="3"/>
  <c r="O9" i="3"/>
  <c r="L9" i="3"/>
  <c r="L41" i="3" s="1"/>
  <c r="D33" i="3" l="1"/>
  <c r="D25" i="3"/>
  <c r="D21" i="3"/>
  <c r="J12" i="3" l="1"/>
  <c r="M12" i="3"/>
  <c r="P12" i="3"/>
  <c r="P17" i="3" l="1"/>
  <c r="P10" i="3"/>
  <c r="M10" i="3"/>
  <c r="M17" i="3"/>
  <c r="J17" i="3"/>
  <c r="J10" i="3"/>
  <c r="P13" i="3"/>
  <c r="M13" i="3"/>
  <c r="J13" i="3"/>
  <c r="J9" i="3" l="1"/>
  <c r="M9" i="3"/>
  <c r="P9" i="3"/>
  <c r="F17" i="3" l="1"/>
  <c r="D18" i="3"/>
  <c r="E17" i="3"/>
  <c r="D30" i="3" l="1"/>
  <c r="E29" i="3"/>
  <c r="D29" i="3" l="1"/>
  <c r="D20" i="3" l="1"/>
  <c r="D17" i="3" s="1"/>
  <c r="G12" i="3"/>
  <c r="G10" i="3"/>
  <c r="F12" i="3"/>
  <c r="F10" i="3"/>
  <c r="G13" i="3" l="1"/>
  <c r="G9" i="3"/>
  <c r="F9" i="3"/>
  <c r="F13" i="3"/>
  <c r="E12" i="3"/>
  <c r="D12" i="3" s="1"/>
  <c r="D16" i="3"/>
  <c r="D14" i="3"/>
  <c r="D10" i="3"/>
  <c r="E13" i="3"/>
  <c r="D13" i="3" l="1"/>
  <c r="D9" i="3"/>
  <c r="E9" i="3"/>
</calcChain>
</file>

<file path=xl/comments1.xml><?xml version="1.0" encoding="utf-8"?>
<comments xmlns="http://schemas.openxmlformats.org/spreadsheetml/2006/main">
  <authors>
    <author>Автор</author>
  </authors>
  <commentLis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п.6.5 Решение Совета муниципального района "Заполярный район" от 26.11.2015 N 177-р (ред. от 24.01.2018) "Об утверждении Положения о наградах и почетных званиях Заполярного района и признании утратившими силу некоторых решений Совета Заполярного района"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п.6.5 Решение Совета муниципального района "Заполярный район" от 26.11.2015 N 177-р (ред. от 24.01.2018) "Об утверждении Положения о наградах и почетных званиях Заполярного района и признании утратившими силу некоторых решений Совета Заполярного района"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<sst xmlns="http://schemas.openxmlformats.org/spreadsheetml/2006/main" count="1192" uniqueCount="492">
  <si>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</si>
  <si>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</si>
  <si>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</si>
  <si>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</si>
  <si>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</si>
  <si>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</si>
  <si>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МКУ ЗР "Северное"</t>
  </si>
  <si>
    <t>2017 год</t>
  </si>
  <si>
    <t>2018 год</t>
  </si>
  <si>
    <t>2019 год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</si>
  <si>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</si>
  <si>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</si>
  <si>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</si>
  <si>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</si>
  <si>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</si>
  <si>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</si>
  <si>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</si>
  <si>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</si>
  <si>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</si>
  <si>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</si>
  <si>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</si>
  <si>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</si>
  <si>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</si>
  <si>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</si>
  <si>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</si>
  <si>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</si>
  <si>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</si>
  <si>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</si>
  <si>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</si>
  <si>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федеральный бюджет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</si>
  <si>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</si>
  <si>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</si>
  <si>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</si>
  <si>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</si>
  <si>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</si>
  <si>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</si>
  <si>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Администрация МО поселения НАО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</si>
  <si>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</si>
  <si>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</si>
  <si>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</si>
  <si>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</si>
  <si>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</si>
  <si>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</si>
  <si>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</si>
  <si>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</si>
  <si>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</si>
  <si>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</si>
  <si>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</si>
  <si>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</si>
  <si>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</si>
  <si>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</si>
  <si>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</si>
  <si>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</si>
  <si>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</si>
  <si>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</si>
  <si>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</si>
  <si>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</si>
  <si>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</si>
  <si>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</si>
  <si>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</si>
  <si>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</si>
  <si>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</si>
  <si>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</si>
  <si>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</si>
  <si>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</si>
  <si>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</si>
  <si>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</si>
  <si>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</si>
  <si>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</si>
  <si>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МО "Андегский сельсовет" НАО</t>
  </si>
  <si>
    <t>МО "Великовисочный сельсовет" НАО</t>
  </si>
  <si>
    <t>МО "Коткинский сельсовет" НАО</t>
  </si>
  <si>
    <t>МО "Омский сельсовет" НАО</t>
  </si>
  <si>
    <t>МО "Пешский сельсовет" НАО</t>
  </si>
  <si>
    <t>МО "Поселок Амдерма" НАО</t>
  </si>
  <si>
    <t>МО "Пустозерский сельсовет" НАО</t>
  </si>
  <si>
    <t>МО "Тельвисочный сельсовет" НАО</t>
  </si>
  <si>
    <t>МО "Хоседа-Хардский сельсовет" НАО</t>
  </si>
  <si>
    <t>МО "Юшарский сельсовет" НАО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</si>
  <si>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</si>
  <si>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</si>
  <si>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</si>
  <si>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</si>
  <si>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</si>
  <si>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</si>
  <si>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</si>
  <si>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</si>
  <si>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Эксплуатационные и иные расходы по содержанию объектов до передачи в собственность муниципальных образований поселений</t>
  </si>
  <si>
    <t>Организация и проведение мероприятий в рамках празднования Дня Заполярного района и Дня герба и флага Заполярного района</t>
  </si>
  <si>
    <t>приобретение часов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</si>
  <si>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</si>
  <si>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</si>
  <si>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1.4.4.</t>
  </si>
  <si>
    <t>Раздел 4.  Расходы на исполнение публичных обязательств и иных выплат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</si>
  <si>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</si>
  <si>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</si>
  <si>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</si>
  <si>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</si>
  <si>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</si>
  <si>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</si>
  <si>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2.2.1.</t>
  </si>
  <si>
    <t>Ремонт инженерных сетей в здании Администрации МО "Поселок Амдерма" НАО"</t>
  </si>
  <si>
    <t>УЖКХиС Администрации Заполярного района, Администрация Заполярного района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</si>
  <si>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</si>
  <si>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</si>
  <si>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</si>
  <si>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</si>
  <si>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</si>
  <si>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</si>
  <si>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</si>
  <si>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</si>
  <si>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</si>
  <si>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</si>
  <si>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</si>
  <si>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</si>
  <si>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</si>
  <si>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</si>
  <si>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</si>
  <si>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</si>
  <si>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</si>
  <si>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</si>
  <si>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</si>
  <si>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</si>
  <si>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</si>
  <si>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</si>
  <si>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</si>
  <si>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</si>
  <si>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</si>
  <si>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</si>
  <si>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</si>
  <si>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6.2.12</t>
  </si>
  <si>
    <t>6.2.13</t>
  </si>
  <si>
    <t>6.2.14</t>
  </si>
  <si>
    <t>6.2.15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</si>
  <si>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</si>
  <si>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</si>
  <si>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</si>
  <si>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</si>
  <si>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</si>
  <si>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</si>
  <si>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</si>
  <si>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</si>
  <si>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</si>
  <si>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</si>
  <si>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</si>
  <si>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6.3.12</t>
  </si>
  <si>
    <t>6.3.13</t>
  </si>
  <si>
    <t>6.3.14</t>
  </si>
  <si>
    <t>6.3.15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</si>
  <si>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</si>
  <si>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</si>
  <si>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2020 год</t>
  </si>
  <si>
    <t>2021 год</t>
  </si>
  <si>
    <t>2022 год</t>
  </si>
  <si>
    <t>6.2.16</t>
  </si>
  <si>
    <t>6.2.17</t>
  </si>
  <si>
    <t>6.1.17</t>
  </si>
  <si>
    <t>6.1.18</t>
  </si>
  <si>
    <t>6.3.16</t>
  </si>
  <si>
    <t>6.3.17</t>
  </si>
  <si>
    <t>Подпрограмма 6 "Возмещение части затрат органов местного самоуправления поселений Ненецкого автономного округа"</t>
  </si>
  <si>
    <t>2.2.1.1</t>
  </si>
  <si>
    <t>Оценка недвижимости, признание прав и регулирование отношений по муниципальной собственности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</si>
  <si>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</si>
  <si>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Администрация Заполярного района, МКУ ЗР "Северное"</t>
  </si>
  <si>
    <t>Раздел 2. Приобретение и содержание муниципального имущества</t>
  </si>
  <si>
    <t>2.2.2.</t>
  </si>
  <si>
    <t>2.2.2.1.</t>
  </si>
  <si>
    <t>Приобретение муниципального имущества</t>
  </si>
  <si>
    <t>Источник финансирования</t>
  </si>
  <si>
    <t>Всего, в том числе:</t>
  </si>
  <si>
    <t>в том числе:</t>
  </si>
  <si>
    <t>внебюджетные источники</t>
  </si>
  <si>
    <t>Объем финансирования, тыс. рублей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</si>
  <si>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</si>
  <si>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</si>
  <si>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</si>
  <si>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</si>
  <si>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</si>
  <si>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</si>
  <si>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</si>
  <si>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</si>
  <si>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</si>
  <si>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</si>
  <si>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</si>
  <si>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</si>
  <si>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</si>
  <si>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</si>
  <si>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</si>
  <si>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</si>
  <si>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</si>
  <si>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</si>
  <si>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</si>
  <si>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</si>
  <si>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</si>
  <si>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</si>
  <si>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</si>
  <si>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</si>
  <si>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</si>
  <si>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</si>
  <si>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</si>
  <si>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</si>
  <si>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</si>
  <si>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</si>
  <si>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</si>
  <si>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</si>
  <si>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</si>
  <si>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</si>
  <si>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</si>
  <si>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</si>
  <si>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</si>
  <si>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</si>
  <si>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</si>
  <si>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</si>
  <si>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</si>
  <si>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</si>
  <si>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</si>
  <si>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</si>
  <si>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</si>
  <si>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</si>
  <si>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</si>
  <si>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</si>
  <si>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</si>
  <si>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</si>
  <si>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</si>
  <si>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</si>
  <si>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</si>
  <si>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</si>
  <si>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</si>
  <si>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</si>
  <si>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</si>
  <si>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</si>
  <si>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</si>
  <si>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</si>
  <si>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</si>
  <si>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</si>
  <si>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</si>
  <si>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</si>
  <si>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</si>
  <si>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</si>
  <si>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</si>
  <si>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</si>
  <si>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</si>
  <si>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</si>
  <si>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</si>
  <si>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</si>
  <si>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</si>
  <si>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</si>
  <si>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</si>
  <si>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</si>
  <si>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</si>
  <si>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</si>
  <si>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</si>
  <si>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</si>
  <si>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</si>
  <si>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</si>
  <si>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</si>
  <si>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</si>
  <si>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</si>
  <si>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</si>
  <si>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</si>
  <si>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Подпрограмма 1 «Реализация функций муниципального управления»</t>
  </si>
  <si>
    <t>Задача 1</t>
  </si>
  <si>
    <t>Обеспечение деятельности органов местного самоуправления муниципального района</t>
  </si>
  <si>
    <t>- финансовое обеспечение деятельности Администрации Заполярного района</t>
  </si>
  <si>
    <t>- финансовое обеспечение деятельности УМИ Администрации Заполярного района</t>
  </si>
  <si>
    <t>- финансовое обеспечение деятельности УЖКХиС Администрации Заполярного района</t>
  </si>
  <si>
    <t>Задача 2</t>
  </si>
  <si>
    <t>- доля муниципальных служащих, прошедших ежегодную диспансеризацию от общего количества муниципальных служащих</t>
  </si>
  <si>
    <t>Задача 3</t>
  </si>
  <si>
    <t>- 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</t>
  </si>
  <si>
    <t>- 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</t>
  </si>
  <si>
    <t>Обеспечение выплаты пенсии за выслугу лет лицам, замешавшим должности муниципальной службы и выборные должности местного самоуправления</t>
  </si>
  <si>
    <t>- финансовое обеспечение выплаты пенсии за выслугу лет лицам, замещавшим должности муниципальной службы и выборные должности местного самоуправления</t>
  </si>
  <si>
    <t>Обеспечение выплаты денежных средств гражданам, которым присвоено звание «Почетный гражданин Заполярного района»</t>
  </si>
  <si>
    <t xml:space="preserve">- количество граждан, удостоенных звания «Почетный гражданин Заполярного района» (с нарастающим итогом) </t>
  </si>
  <si>
    <t>гражданин</t>
  </si>
  <si>
    <t>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</si>
  <si>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- финансовое 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</si>
  <si>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Подпрограмма 2 «Управление муниципальным имуществом»</t>
  </si>
  <si>
    <t xml:space="preserve">Содержание муниципального имущества </t>
  </si>
  <si>
    <t>- количество изготовленных технических планов на объекты недвижимого имущества</t>
  </si>
  <si>
    <t>Ед.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</si>
  <si>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</si>
  <si>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</si>
  <si>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</si>
  <si>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</si>
  <si>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</t>
  </si>
  <si>
    <t>объект</t>
  </si>
  <si>
    <t>- количество приобретенных объектов недвижимости для нужд муниципальных образований</t>
  </si>
  <si>
    <t>Подпрограмма 3 «Материально-техническое и транспортное обеспечение деятельности органов местного самоуправления «Заполярного района»</t>
  </si>
  <si>
    <t>Финансовое обеспечение деятельности МКУ ЗР «Северное»</t>
  </si>
  <si>
    <t xml:space="preserve">- финансовое обеспечение деятельности МКУ ЗР «Северное» </t>
  </si>
  <si>
    <t>Организация комплекса мероприятий по материально-техническому и транспортному обеспечению органов местного самоуправления Заполярного района</t>
  </si>
  <si>
    <t>Подпрограмма 4 «Обеспечение информационной открытости органов местного самоуправления Заполярного района»</t>
  </si>
  <si>
    <t>Обеспечение доступа граждан и организаций к нормативным правовым актам органов местного самоуправления и другой официальной информации</t>
  </si>
  <si>
    <t>- количество правовых актов, опубликованных в периодическом печатном издании муниципального района «Заполярный район» «Официальный бюллетень Заполярного района»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</si>
  <si>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</si>
  <si>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>- количество выпусков периодического печатного издания муниципального района «Заполярный район» «Официальный бюллетень Заполярного района»</t>
  </si>
  <si>
    <t>- количество выпусков общественно-политической газеты Заполярного района «Заполярный вестник+»</t>
  </si>
  <si>
    <t>Шт.</t>
  </si>
  <si>
    <t>- возможность размещения информации о деятельности органов самоуправления на сайте Заполярного района</t>
  </si>
  <si>
    <t>Да/нет</t>
  </si>
  <si>
    <t>Подпрограмма 5: «Организация и проведение официальных мероприятий муниципального района «Заполярный район»</t>
  </si>
  <si>
    <t>Организационное и материально- 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</si>
  <si>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- количество проведенных официальных мероприятий</t>
  </si>
  <si>
    <t>- количество награжденных (поощренных)</t>
  </si>
  <si>
    <t>Чел.</t>
  </si>
  <si>
    <t xml:space="preserve">- количество приобретенных часов </t>
  </si>
  <si>
    <t>- количество изготовленных и установленных въездных знаков Заполярного района</t>
  </si>
  <si>
    <t>Подпрограмма 6 «Возмещение части затрат органов местного самоуправления поселений Ненецкого автономного округа»</t>
  </si>
  <si>
    <t>Обеспечение деятельности органов местного самоуправления поселений</t>
  </si>
  <si>
    <t>- объем потребленной электрической энергии для целей содержания органов местного самоуправления поселений</t>
  </si>
  <si>
    <t>Тыс. кВт /ч</t>
  </si>
  <si>
    <t>- объем потребленной тепловой энергии для целей содержания органов местного самоуправления поселений</t>
  </si>
  <si>
    <t>Гкал</t>
  </si>
  <si>
    <t>- объем приобретенного твердого топлива (иных коммунальных услуг) для целей содержания органов местного самоуправления поселений:</t>
  </si>
  <si>
    <t>уголь</t>
  </si>
  <si>
    <t>Тонн</t>
  </si>
  <si>
    <t>дрова</t>
  </si>
  <si>
    <t>Куб. м</t>
  </si>
  <si>
    <t>холодная вода</t>
  </si>
  <si>
    <t>Подготовка и проведение выборов представительных органов местного самоуправления и глав муниципальных образований</t>
  </si>
  <si>
    <t>- 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администрации</t>
  </si>
  <si>
    <t>Наименование индикатора (показателя)</t>
  </si>
  <si>
    <t>Задачи, направленные на достижение цели</t>
  </si>
  <si>
    <t>2.1.6.</t>
  </si>
  <si>
    <t>Подраздел 2. Приобретение муниципального имущества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</si>
  <si>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</si>
  <si>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</si>
  <si>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</si>
  <si>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</si>
  <si>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</si>
  <si>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</si>
  <si>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замещающих должности, не относящиеся к должностям муниципальной службы</t>
  </si>
  <si>
    <t>Базовое значение индикатора в год, предшествующий началу реализации муниципальной программы</t>
  </si>
  <si>
    <t xml:space="preserve"> - количество оказанных транспортных услуг органам местного самоуправления муниципального района в населенные пункты Заполярного района
</t>
  </si>
  <si>
    <t>5.5.1.</t>
  </si>
  <si>
    <t>5.5.2.</t>
  </si>
  <si>
    <t>2.2.3.</t>
  </si>
  <si>
    <t>2.2.3.1.</t>
  </si>
  <si>
    <t>Подраздел 3. Содержание муниципального имущества</t>
  </si>
  <si>
    <t>Установка прибора учета тепловой энергии в здании Администрации МО "Коткинский сельсовет" НАО</t>
  </si>
  <si>
    <t>2.2.1.2</t>
  </si>
  <si>
    <t>2.2.1.3</t>
  </si>
  <si>
    <t>Ремонт бордюров и ограждений на территории административных зданий</t>
  </si>
  <si>
    <t>Ремонт центрального холла административного здания по ул. Губкина 3Б</t>
  </si>
  <si>
    <t>Приобретение модульного здания в с. Шойна (здание Администрации МО "Шоинский сельсовет" НАО)</t>
  </si>
  <si>
    <t>6.3.18</t>
  </si>
  <si>
    <t>- количество объектов, оснащенных приборами учета коммунальных ресурсов</t>
  </si>
  <si>
    <t>Раздел 1. Расходы на оплату коммунальных услуг и приобретение твердого топлива</t>
  </si>
  <si>
    <t>Подраздел 1. Капитальный и текущий ремонт муниципального имущества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</si>
  <si>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</si>
  <si>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Раздел 2.  Диспансеризация муниципальных служащих и проведение медицинских осмотров (обследований) работников, замещающих должности, не относящиеся к должностям муниципальной службы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</si>
  <si>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</si>
  <si>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- доля работников, замещающие должности, не относящиеся к должностям муниципальной службы,прошедших медицинские осмотры (обследования) от общего количества работников, замещающих должности, не относящиеся к должностям муниципальной службы</t>
  </si>
  <si>
    <t>Организация проведения ежегодной диспансеризации муниципальных служащих и медицинских осмотров (обследований) работников, замещающих должности, не относящиеся к должностям муниципальной службы</t>
  </si>
  <si>
    <t>2.2.1.4</t>
  </si>
  <si>
    <t>Ремонт системы отопления на цокольном этаже здания Администрации Заполярного района</t>
  </si>
  <si>
    <t>6.2.18</t>
  </si>
  <si>
    <t>2.2.1.6</t>
  </si>
  <si>
    <t>Замена септика в Административном здании по ул. Губкина, д. 10.</t>
  </si>
  <si>
    <t>2.2.3.2.</t>
  </si>
  <si>
    <t>2.2.2.2.</t>
  </si>
  <si>
    <t>Иные расходы по содержанию имущества</t>
  </si>
  <si>
    <t>2.2.1.7</t>
  </si>
  <si>
    <t>Ремонт системы отопления административного здания по ул. Центральная, 26 "А" в с. Тельвиска МО "Тельвисочный сельсовет" НАО</t>
  </si>
  <si>
    <t>2.2.1.8</t>
  </si>
  <si>
    <t>Ремонт цокольного этажа дома № 8 по ул. Россихина п. Искателей (после пожара)</t>
  </si>
  <si>
    <t>2.2.3.3.</t>
  </si>
  <si>
    <t>Установка узла коммерческого учета тепловой энергии в здании аэропорта по ул. Победы, д. 18 в п. Харута МО «Хоседа-Хардский сельсовет» НАО</t>
  </si>
  <si>
    <t>2.2.3.4.</t>
  </si>
  <si>
    <t>Установка узлов коммерческого учета тепловой энергии в административных зданиях, расположенных по адресам: ул. Центральная, д. 26 «А» и ул. Школьная, д. 9 в с. Тельвиска МО «Тельвисочный сельсовет» НАО</t>
  </si>
  <si>
    <t>Приобретение и доставка лодки, лодочного мотора, прицепа МО «Тельвисочный сельсовет» НАО</t>
  </si>
  <si>
    <t>- количество разработанных проектов по содержанию имущества</t>
  </si>
  <si>
    <t>проект</t>
  </si>
  <si>
    <t>Приложение 2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</si>
  <si>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Приложение 3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</si>
  <si>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</si>
  <si>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Перечень целевых показателей муниципальной программы "Развитие административной системы местного самоуправления муниципального района "Заполярный район" на 2017 - 2025 годы"</t>
  </si>
  <si>
    <t>2023 год</t>
  </si>
  <si>
    <t>2025 год</t>
  </si>
  <si>
    <t>2024 год</t>
  </si>
  <si>
    <t>Ресурсное обеспечение реализации 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</si>
  <si>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2.2.1.9</t>
  </si>
  <si>
    <t>Ремонт системы отопления в здании Администрации Заполярного района</t>
  </si>
  <si>
    <t>2.2.1.10</t>
  </si>
  <si>
    <t>Капитальный ремонт культурно – досугового учреждения в п. Хорей – Вер</t>
  </si>
  <si>
    <t>МО "Хорей-Верский сельсовет" НАО</t>
  </si>
  <si>
    <t>6.1.19</t>
  </si>
  <si>
    <t>6.3.19</t>
  </si>
  <si>
    <t>приобретение книги "Заполярный район в людях и делах" в электронном формате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</si>
  <si>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</si>
  <si>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4.5.</t>
  </si>
  <si>
    <t>Модернизация сайта органов местного самоуправления Заполярного района</t>
  </si>
  <si>
    <t>твердые коммунальные отходы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</si>
  <si>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</si>
  <si>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приобретенных изданий</t>
  </si>
  <si>
    <t>Всего на 2017-2025 годы</t>
  </si>
  <si>
    <t>МП "Развитие административной системы местного самоуправления муниципального района "Заполярный район" на 2017-2025 годы"</t>
  </si>
  <si>
    <t>5.5.3.</t>
  </si>
  <si>
    <t>Приобретение 40-футовых контейнеров в количестве 3 шт.</t>
  </si>
  <si>
    <t>Приобретение 8-местных балков в количестве 2 шт.</t>
  </si>
  <si>
    <t>Приобретение балка-бытовки</t>
  </si>
  <si>
    <t>Приобретение  металлического балка</t>
  </si>
  <si>
    <t>Приобретение балка на санях, оборудованного под столовую</t>
  </si>
  <si>
    <t>Приобретение комплекта для газосварки</t>
  </si>
  <si>
    <t>2.2.2.3</t>
  </si>
  <si>
    <t>2.2.2.4</t>
  </si>
  <si>
    <t>2.2.2.5</t>
  </si>
  <si>
    <t>2.2.2.6</t>
  </si>
  <si>
    <t>2.2.2.7</t>
  </si>
  <si>
    <t>2.2.2.8</t>
  </si>
  <si>
    <t>2.2.2.9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</si>
  <si>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МО «Приморско-Куйский сельсовет» НАО</t>
  </si>
  <si>
    <t>2.2.3.5</t>
  </si>
  <si>
    <t>2.2.3.6</t>
  </si>
  <si>
    <t>Приобретение настольной игры</t>
  </si>
  <si>
    <t>5.5.4.</t>
  </si>
  <si>
    <t xml:space="preserve">количество приобретенных контейнеров </t>
  </si>
  <si>
    <t xml:space="preserve">количество приобретенных балков </t>
  </si>
  <si>
    <t>количество приобретенных модульных зданий</t>
  </si>
  <si>
    <t>ед</t>
  </si>
  <si>
    <t>количество приобретенных настольных игр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</si>
  <si>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</si>
  <si>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Расходы, связанные с содержанием муниципального имущества, находящегося в казне</t>
  </si>
  <si>
    <t>2.1.7.</t>
  </si>
  <si>
    <t>2.3.1.</t>
  </si>
  <si>
    <t>Раздел 3. Прочие расходы, связанные с муниципальным имуществом</t>
  </si>
  <si>
    <t>Ремонтно-строительные работы в спортивном сооружении с универсальном игровым залом в п. Амдерма</t>
  </si>
  <si>
    <t>УМИ Администрации Заполярного района, Администрация Заполярного района</t>
  </si>
  <si>
    <t>Приобретение запасных частей для вездехода "Трэкол" Администрации МО "Тиманский сельсовет" НАО</t>
  </si>
  <si>
    <t>Ремонт вездехода "Трэкол" Администрации МО "Тиманский сельсовет" НАО</t>
  </si>
  <si>
    <t>Ремонт снегохода "Arctic Cat Z1" Администрации МО "Тиманский сельсовет" НАО</t>
  </si>
  <si>
    <t>2.2.1.11</t>
  </si>
  <si>
    <t>2.2.1.12</t>
  </si>
  <si>
    <t>Строительно-техническая экспертиза на объекте «Спортивное сооружение с универсальным игровым залом в п. Амдерма»</t>
  </si>
  <si>
    <t>2.3.2.</t>
  </si>
  <si>
    <t>- количество восстановленной исполнительной  документации на линию электропередач</t>
  </si>
  <si>
    <t>2.2.1.5</t>
  </si>
  <si>
    <t>2.2.2.10</t>
  </si>
  <si>
    <t>Устройство уличного туалета в п. Индига  МО "Тиманский сельсовет" НАО</t>
  </si>
  <si>
    <t>2.2.1.13</t>
  </si>
  <si>
    <t>Разработка проектной документации на ремонт причалов в п. Индига МО «Тиманский сельсовет» НАО</t>
  </si>
  <si>
    <t>2.2.3.7</t>
  </si>
  <si>
    <t>2.2.3.7.1</t>
  </si>
  <si>
    <t>2.2.3.7.2</t>
  </si>
  <si>
    <t>2.2.3.7.3</t>
  </si>
  <si>
    <t>2.2.3.7.4</t>
  </si>
  <si>
    <t>2.2.3.7.5</t>
  </si>
  <si>
    <t>2.2.3.7.6</t>
  </si>
  <si>
    <t>2.2.3.7.7</t>
  </si>
  <si>
    <t>2.2.3.7.8</t>
  </si>
  <si>
    <t>2.2.3.7.9</t>
  </si>
  <si>
    <t>2.2.3.7.10</t>
  </si>
  <si>
    <t>2.2.3.7.11</t>
  </si>
  <si>
    <t>2.2.3.8</t>
  </si>
  <si>
    <t>2.2.3.8.1</t>
  </si>
  <si>
    <t>Содержание пустующего муниципального жилого фонда</t>
  </si>
  <si>
    <t>- количество квартир, для которых предусмотрены расходы по содержанию имущества</t>
  </si>
  <si>
    <t>Поставка, монтаж и пуско-наладочные работы оборудования для объекта автоматизации системы обеспечения вызова экстренных служб по единому номеру "112" на базе ЕДДС МО НАО</t>
  </si>
  <si>
    <t>количество приобретенного оборудования для обеспечения вызова экстренных служб</t>
  </si>
  <si>
    <t>комплект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</si>
  <si>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</si>
  <si>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</si>
  <si>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</si>
  <si>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</si>
  <si>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</si>
  <si>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</si>
  <si>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</si>
  <si>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</si>
  <si>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</si>
  <si>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</si>
  <si>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</si>
  <si>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</si>
  <si>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</si>
  <si>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</si>
  <si>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</si>
  <si>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</si>
  <si>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</si>
  <si>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</si>
  <si>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Расчет платы за содержание и ремонт общего имущества в многоквартирных домах в п. Красное Сельского поселения «Приморско-Куйский сельсовет» ЗР НАО</t>
  </si>
  <si>
    <t>- количество многоквартирных домов, для которых произведен расчет тарифа на управление</t>
  </si>
  <si>
    <t>Установка ограждения с устройством ворот для въезда по территории земельного участка технического склада МП ЗР «Северная транспортная компания» в районе ул. Угольная в п. Искателей»</t>
  </si>
  <si>
    <t xml:space="preserve">Организация и проведение конкурса "Гордость Заполярного района" </t>
  </si>
  <si>
    <t>Углубление и закрепление знаний, повышение эффективности профессиональной подготовки, переподготовки и повышения квалификации муниципальных служащих и работников, замещающих должности, не относящиеся к должностям муниципальной службы</t>
  </si>
  <si>
    <t>количество приобретенных комплектов для газосварки</t>
  </si>
  <si>
    <t>- количество информационных сообщений (объявлений), размещенных в средствах массовой информации</t>
  </si>
  <si>
    <t>- количество опубликованной информации в общественно-политической газете НАО «Няръяна вындер»</t>
  </si>
  <si>
    <t>кв. см</t>
  </si>
  <si>
    <t>Перечень мероприятий 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</si>
  <si>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МО "Городское поселение "Рабочий поселок Искателей"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</si>
</sst>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\ _₽_-;\-* #,##0.0\ _₽_-;_-* &quot;-&quot;?\ _₽_-;_-@_-"/>
    <numFmt numFmtId="170" formatCode="_-* #,##0.0_р_._-;\-* #,##0.0_р_._-;_-* &quot;-&quot;??_р_.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164" fontId="5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246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7" applyFont="1" applyFill="1" applyBorder="1" applyAlignment="1">
      <alignment horizontal="center" vertical="center" wrapText="1"/>
    </xf>
    <xf numFmtId="0" fontId="16" fillId="0" borderId="1" xfId="7" applyFont="1" applyFill="1" applyBorder="1" applyAlignment="1">
      <alignment vertical="center"/>
    </xf>
    <xf numFmtId="0" fontId="16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/>
    </xf>
    <xf numFmtId="0" fontId="12" fillId="0" borderId="0" xfId="7" applyFont="1" applyFill="1" applyBorder="1" applyAlignment="1">
      <alignment vertical="center"/>
    </xf>
    <xf numFmtId="0" fontId="16" fillId="5" borderId="1" xfId="7" applyFont="1" applyFill="1" applyBorder="1" applyAlignment="1">
      <alignment horizontal="center" vertical="center" wrapText="1"/>
    </xf>
    <xf numFmtId="0" fontId="16" fillId="5" borderId="1" xfId="7" applyFont="1" applyFill="1" applyBorder="1" applyAlignment="1">
      <alignment vertical="center" wrapText="1"/>
    </xf>
    <xf numFmtId="0" fontId="16" fillId="0" borderId="0" xfId="7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7" applyNumberFormat="1" applyFont="1" applyFill="1" applyBorder="1" applyAlignment="1">
      <alignment vertical="center" wrapText="1"/>
    </xf>
    <xf numFmtId="165" fontId="7" fillId="4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vertical="center"/>
    </xf>
    <xf numFmtId="165" fontId="12" fillId="0" borderId="1" xfId="7" applyNumberFormat="1" applyFont="1" applyFill="1" applyBorder="1" applyAlignment="1">
      <alignment horizontal="right" vertical="center" wrapText="1"/>
    </xf>
    <xf numFmtId="165" fontId="8" fillId="0" borderId="1" xfId="7" applyNumberFormat="1" applyFont="1" applyFill="1" applyBorder="1" applyAlignment="1">
      <alignment horizontal="right" vertical="center" wrapText="1"/>
    </xf>
    <xf numFmtId="165" fontId="8" fillId="2" borderId="1" xfId="7" applyNumberFormat="1" applyFont="1" applyFill="1" applyBorder="1" applyAlignment="1">
      <alignment horizontal="right" vertical="center" wrapText="1"/>
    </xf>
    <xf numFmtId="0" fontId="12" fillId="0" borderId="6" xfId="7" applyFont="1" applyFill="1" applyBorder="1" applyAlignment="1">
      <alignment horizontal="center" vertical="center"/>
    </xf>
    <xf numFmtId="0" fontId="12" fillId="0" borderId="13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3" xfId="7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8" fontId="12" fillId="0" borderId="2" xfId="7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0" fontId="16" fillId="0" borderId="0" xfId="7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7" applyFont="1" applyFill="1" applyBorder="1" applyAlignment="1">
      <alignment horizontal="center" vertical="center" wrapText="1"/>
    </xf>
    <xf numFmtId="0" fontId="16" fillId="3" borderId="1" xfId="7" applyFont="1" applyFill="1" applyBorder="1" applyAlignment="1">
      <alignment horizontal="left" vertical="center" wrapText="1"/>
    </xf>
    <xf numFmtId="0" fontId="5" fillId="0" borderId="0" xfId="2"/>
    <xf numFmtId="0" fontId="12" fillId="0" borderId="15" xfId="2" applyFont="1" applyBorder="1" applyAlignment="1">
      <alignment horizontal="justify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7" applyFont="1" applyFill="1" applyBorder="1" applyAlignment="1">
      <alignment horizontal="left" vertical="center" wrapText="1"/>
    </xf>
    <xf numFmtId="0" fontId="16" fillId="5" borderId="1" xfId="7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0" fillId="0" borderId="1" xfId="0" applyFill="1" applyBorder="1"/>
    <xf numFmtId="1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164" fontId="12" fillId="0" borderId="1" xfId="6" applyFont="1" applyFill="1" applyBorder="1" applyAlignment="1">
      <alignment horizontal="center" vertical="center" wrapText="1"/>
    </xf>
    <xf numFmtId="170" fontId="12" fillId="0" borderId="1" xfId="6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26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26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31" fillId="0" borderId="0" xfId="0" applyFont="1" applyFill="1" applyAlignment="1">
      <alignment vertical="center" wrapText="1"/>
    </xf>
    <xf numFmtId="0" fontId="31" fillId="0" borderId="0" xfId="5" applyFont="1" applyFill="1" applyBorder="1" applyAlignment="1">
      <alignment vertical="center"/>
    </xf>
    <xf numFmtId="0" fontId="32" fillId="0" borderId="0" xfId="1" applyFont="1" applyFill="1" applyBorder="1" applyAlignment="1">
      <alignment vertical="center" wrapText="1"/>
    </xf>
    <xf numFmtId="0" fontId="31" fillId="0" borderId="0" xfId="0" applyFont="1" applyFill="1" applyAlignment="1">
      <alignment vertical="center"/>
    </xf>
    <xf numFmtId="0" fontId="32" fillId="0" borderId="0" xfId="5" applyFont="1" applyFill="1" applyBorder="1" applyAlignment="1">
      <alignment vertical="center"/>
    </xf>
    <xf numFmtId="0" fontId="32" fillId="0" borderId="0" xfId="0" applyFont="1" applyFill="1" applyAlignment="1">
      <alignment vertical="center"/>
    </xf>
    <xf numFmtId="165" fontId="32" fillId="0" borderId="0" xfId="5" applyNumberFormat="1" applyFont="1" applyFill="1" applyBorder="1" applyAlignment="1">
      <alignment vertical="center"/>
    </xf>
    <xf numFmtId="0" fontId="31" fillId="0" borderId="1" xfId="5" applyFont="1" applyFill="1" applyBorder="1" applyAlignment="1">
      <alignment horizontal="center" vertical="center" wrapText="1"/>
    </xf>
    <xf numFmtId="0" fontId="31" fillId="0" borderId="0" xfId="5" applyFont="1" applyFill="1" applyBorder="1" applyAlignment="1">
      <alignment vertical="center" wrapText="1"/>
    </xf>
    <xf numFmtId="0" fontId="32" fillId="0" borderId="1" xfId="5" applyFont="1" applyFill="1" applyBorder="1" applyAlignment="1">
      <alignment horizontal="center" vertical="center" wrapText="1"/>
    </xf>
    <xf numFmtId="0" fontId="32" fillId="0" borderId="0" xfId="5" applyFont="1" applyFill="1" applyBorder="1" applyAlignment="1">
      <alignment vertical="center" wrapText="1"/>
    </xf>
    <xf numFmtId="165" fontId="32" fillId="0" borderId="1" xfId="5" applyNumberFormat="1" applyFont="1" applyFill="1" applyBorder="1" applyAlignment="1">
      <alignment horizontal="right" vertical="center" wrapText="1"/>
    </xf>
    <xf numFmtId="0" fontId="31" fillId="0" borderId="1" xfId="5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center" vertical="center" wrapText="1"/>
    </xf>
    <xf numFmtId="165" fontId="28" fillId="0" borderId="1" xfId="0" applyNumberFormat="1" applyFont="1" applyFill="1" applyBorder="1" applyAlignment="1">
      <alignment horizontal="right" vertical="center" wrapText="1"/>
    </xf>
    <xf numFmtId="165" fontId="26" fillId="0" borderId="1" xfId="0" applyNumberFormat="1" applyFont="1" applyFill="1" applyBorder="1" applyAlignment="1">
      <alignment horizontal="right" vertical="center" wrapText="1"/>
    </xf>
    <xf numFmtId="165" fontId="31" fillId="0" borderId="1" xfId="5" applyNumberFormat="1" applyFont="1" applyFill="1" applyBorder="1" applyAlignment="1">
      <alignment horizontal="right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0" fontId="31" fillId="0" borderId="0" xfId="0" applyFont="1" applyFill="1" applyAlignment="1">
      <alignment wrapText="1"/>
    </xf>
    <xf numFmtId="165" fontId="32" fillId="0" borderId="2" xfId="5" applyNumberFormat="1" applyFont="1" applyFill="1" applyBorder="1" applyAlignment="1">
      <alignment horizontal="right" vertical="center" wrapText="1"/>
    </xf>
    <xf numFmtId="165" fontId="31" fillId="0" borderId="2" xfId="5" applyNumberFormat="1" applyFont="1" applyFill="1" applyBorder="1" applyAlignment="1">
      <alignment horizontal="right" vertical="center" wrapText="1"/>
    </xf>
    <xf numFmtId="0" fontId="31" fillId="0" borderId="1" xfId="5" applyFont="1" applyFill="1" applyBorder="1" applyAlignment="1">
      <alignment vertical="center" wrapText="1"/>
    </xf>
    <xf numFmtId="168" fontId="31" fillId="0" borderId="1" xfId="5" applyNumberFormat="1" applyFont="1" applyFill="1" applyBorder="1" applyAlignment="1">
      <alignment vertical="center" wrapText="1"/>
    </xf>
    <xf numFmtId="0" fontId="31" fillId="0" borderId="1" xfId="5" applyFont="1" applyFill="1" applyBorder="1" applyAlignment="1">
      <alignment vertical="center"/>
    </xf>
    <xf numFmtId="165" fontId="31" fillId="0" borderId="3" xfId="5" applyNumberFormat="1" applyFont="1" applyFill="1" applyBorder="1" applyAlignment="1">
      <alignment horizontal="right" vertical="center" wrapText="1"/>
    </xf>
    <xf numFmtId="165" fontId="28" fillId="0" borderId="0" xfId="0" applyNumberFormat="1" applyFont="1" applyFill="1" applyBorder="1" applyAlignment="1">
      <alignment horizontal="right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left" vertical="center" wrapText="1"/>
    </xf>
    <xf numFmtId="169" fontId="31" fillId="0" borderId="1" xfId="0" applyNumberFormat="1" applyFont="1" applyFill="1" applyBorder="1" applyAlignment="1">
      <alignment vertical="center"/>
    </xf>
    <xf numFmtId="169" fontId="31" fillId="0" borderId="3" xfId="0" applyNumberFormat="1" applyFont="1" applyFill="1" applyBorder="1" applyAlignment="1">
      <alignment vertical="center"/>
    </xf>
    <xf numFmtId="16" fontId="32" fillId="0" borderId="1" xfId="5" applyNumberFormat="1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left" vertical="center" wrapText="1"/>
    </xf>
    <xf numFmtId="165" fontId="29" fillId="0" borderId="1" xfId="5" applyNumberFormat="1" applyFont="1" applyFill="1" applyBorder="1" applyAlignment="1">
      <alignment horizontal="right" vertical="center" wrapText="1"/>
    </xf>
    <xf numFmtId="14" fontId="31" fillId="0" borderId="1" xfId="5" applyNumberFormat="1" applyFont="1" applyFill="1" applyBorder="1" applyAlignment="1">
      <alignment horizontal="center" vertical="center"/>
    </xf>
    <xf numFmtId="0" fontId="29" fillId="0" borderId="1" xfId="3" applyFont="1" applyFill="1" applyBorder="1" applyAlignment="1">
      <alignment horizontal="right" vertical="center" wrapText="1"/>
    </xf>
    <xf numFmtId="49" fontId="31" fillId="0" borderId="1" xfId="5" applyNumberFormat="1" applyFont="1" applyFill="1" applyBorder="1" applyAlignment="1">
      <alignment horizontal="center" vertical="center"/>
    </xf>
    <xf numFmtId="167" fontId="33" fillId="0" borderId="1" xfId="0" applyNumberFormat="1" applyFont="1" applyFill="1" applyBorder="1" applyAlignment="1">
      <alignment horizontal="left" vertical="center" wrapText="1"/>
    </xf>
    <xf numFmtId="167" fontId="31" fillId="0" borderId="1" xfId="0" applyNumberFormat="1" applyFont="1" applyFill="1" applyBorder="1" applyAlignment="1">
      <alignment horizontal="center" vertical="center" wrapText="1"/>
    </xf>
    <xf numFmtId="167" fontId="31" fillId="0" borderId="1" xfId="0" applyNumberFormat="1" applyFont="1" applyFill="1" applyBorder="1" applyAlignment="1">
      <alignment horizontal="right" vertical="center" wrapText="1"/>
    </xf>
    <xf numFmtId="165" fontId="31" fillId="0" borderId="5" xfId="5" applyNumberFormat="1" applyFont="1" applyFill="1" applyBorder="1" applyAlignment="1">
      <alignment horizontal="right" vertical="center" wrapText="1"/>
    </xf>
    <xf numFmtId="168" fontId="32" fillId="0" borderId="1" xfId="0" applyNumberFormat="1" applyFont="1" applyFill="1" applyBorder="1" applyAlignment="1">
      <alignment vertical="center"/>
    </xf>
    <xf numFmtId="168" fontId="31" fillId="0" borderId="1" xfId="5" applyNumberFormat="1" applyFont="1" applyFill="1" applyBorder="1" applyAlignment="1">
      <alignment vertical="center"/>
    </xf>
    <xf numFmtId="0" fontId="22" fillId="0" borderId="0" xfId="0" applyFont="1" applyFill="1" applyAlignment="1">
      <alignment horizontal="justify" vertical="top" wrapText="1"/>
    </xf>
    <xf numFmtId="0" fontId="23" fillId="0" borderId="0" xfId="0" applyFont="1" applyFill="1" applyAlignment="1">
      <alignment horizontal="justify" vertical="top" wrapText="1"/>
    </xf>
    <xf numFmtId="0" fontId="21" fillId="0" borderId="0" xfId="0" applyFont="1" applyFill="1" applyAlignment="1">
      <alignment horizontal="justify" vertical="top" wrapText="1"/>
    </xf>
    <xf numFmtId="0" fontId="24" fillId="0" borderId="0" xfId="0" applyFont="1" applyFill="1" applyAlignment="1">
      <alignment vertical="top" wrapText="1"/>
    </xf>
    <xf numFmtId="0" fontId="24" fillId="0" borderId="0" xfId="0" applyFont="1" applyFill="1" applyAlignment="1">
      <alignment horizontal="center" vertical="top" wrapText="1"/>
    </xf>
    <xf numFmtId="0" fontId="24" fillId="0" borderId="0" xfId="1" applyFont="1" applyFill="1" applyBorder="1" applyAlignment="1">
      <alignment horizontal="justify" vertical="top" wrapText="1"/>
    </xf>
    <xf numFmtId="0" fontId="25" fillId="0" borderId="0" xfId="1" applyFont="1" applyFill="1" applyBorder="1" applyAlignment="1">
      <alignment horizontal="justify" vertical="top" wrapText="1"/>
    </xf>
    <xf numFmtId="0" fontId="25" fillId="0" borderId="0" xfId="0" applyFont="1" applyAlignment="1">
      <alignment horizontal="justify" vertical="top" wrapText="1"/>
    </xf>
    <xf numFmtId="0" fontId="24" fillId="0" borderId="0" xfId="0" applyFont="1" applyAlignment="1">
      <alignment horizontal="justify" vertical="top" wrapText="1"/>
    </xf>
    <xf numFmtId="165" fontId="25" fillId="0" borderId="0" xfId="1" applyNumberFormat="1" applyFont="1" applyFill="1" applyBorder="1" applyAlignment="1">
      <alignment horizontal="justify" vertical="top" wrapText="1"/>
    </xf>
    <xf numFmtId="0" fontId="25" fillId="0" borderId="1" xfId="1" applyFont="1" applyFill="1" applyBorder="1" applyAlignment="1">
      <alignment horizontal="center" vertical="top" wrapText="1"/>
    </xf>
    <xf numFmtId="0" fontId="25" fillId="0" borderId="0" xfId="1" applyFont="1" applyFill="1" applyBorder="1" applyAlignment="1">
      <alignment horizontal="center" vertical="top" wrapText="1"/>
    </xf>
    <xf numFmtId="165" fontId="24" fillId="4" borderId="1" xfId="1" applyNumberFormat="1" applyFont="1" applyFill="1" applyBorder="1" applyAlignment="1">
      <alignment horizontal="left" vertical="top" wrapText="1"/>
    </xf>
    <xf numFmtId="165" fontId="24" fillId="4" borderId="1" xfId="1" applyNumberFormat="1" applyFont="1" applyFill="1" applyBorder="1" applyAlignment="1">
      <alignment horizontal="justify" vertical="top" wrapText="1"/>
    </xf>
    <xf numFmtId="165" fontId="24" fillId="0" borderId="1" xfId="1" applyNumberFormat="1" applyFont="1" applyFill="1" applyBorder="1" applyAlignment="1">
      <alignment horizontal="justify" vertical="top" wrapText="1"/>
    </xf>
    <xf numFmtId="165" fontId="24" fillId="0" borderId="1" xfId="1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7" fontId="31" fillId="0" borderId="5" xfId="0" applyNumberFormat="1" applyFont="1" applyFill="1" applyBorder="1" applyAlignment="1">
      <alignment horizontal="center" vertical="center" wrapText="1"/>
    </xf>
    <xf numFmtId="0" fontId="31" fillId="0" borderId="2" xfId="5" applyFont="1" applyFill="1" applyBorder="1" applyAlignment="1">
      <alignment horizontal="center" vertical="center"/>
    </xf>
    <xf numFmtId="165" fontId="24" fillId="0" borderId="1" xfId="1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166" fontId="23" fillId="0" borderId="1" xfId="1" applyNumberFormat="1" applyFont="1" applyFill="1" applyBorder="1" applyAlignment="1">
      <alignment horizontal="center" vertical="top" wrapText="1"/>
    </xf>
    <xf numFmtId="0" fontId="24" fillId="4" borderId="13" xfId="1" applyNumberFormat="1" applyFont="1" applyFill="1" applyBorder="1" applyAlignment="1">
      <alignment vertical="top" wrapText="1"/>
    </xf>
    <xf numFmtId="0" fontId="24" fillId="0" borderId="0" xfId="1" applyNumberFormat="1" applyFont="1" applyFill="1" applyBorder="1" applyAlignment="1">
      <alignment vertical="top" wrapText="1"/>
    </xf>
    <xf numFmtId="0" fontId="25" fillId="0" borderId="0" xfId="0" applyFont="1" applyFill="1" applyBorder="1" applyAlignment="1">
      <alignment horizontal="justify" vertical="top" wrapText="1"/>
    </xf>
    <xf numFmtId="0" fontId="24" fillId="0" borderId="0" xfId="0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2" fillId="0" borderId="1" xfId="0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32" fillId="0" borderId="0" xfId="1" applyFont="1" applyFill="1" applyBorder="1" applyAlignment="1">
      <alignment horizontal="center" vertical="center" wrapText="1"/>
    </xf>
    <xf numFmtId="165" fontId="26" fillId="0" borderId="3" xfId="5" applyNumberFormat="1" applyFont="1" applyFill="1" applyBorder="1" applyAlignment="1">
      <alignment horizontal="center" vertical="center" wrapText="1"/>
    </xf>
    <xf numFmtId="165" fontId="26" fillId="0" borderId="4" xfId="5" applyNumberFormat="1" applyFont="1" applyFill="1" applyBorder="1" applyAlignment="1">
      <alignment horizontal="center" vertical="center" wrapText="1"/>
    </xf>
    <xf numFmtId="165" fontId="26" fillId="0" borderId="5" xfId="5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 wrapText="1"/>
    </xf>
    <xf numFmtId="166" fontId="26" fillId="0" borderId="3" xfId="5" applyNumberFormat="1" applyFont="1" applyFill="1" applyBorder="1" applyAlignment="1">
      <alignment horizontal="center" vertical="center" wrapText="1"/>
    </xf>
    <xf numFmtId="166" fontId="26" fillId="0" borderId="4" xfId="5" applyNumberFormat="1" applyFont="1" applyFill="1" applyBorder="1" applyAlignment="1">
      <alignment horizontal="center" vertical="center" wrapText="1"/>
    </xf>
    <xf numFmtId="166" fontId="26" fillId="0" borderId="5" xfId="5" applyNumberFormat="1" applyFont="1" applyFill="1" applyBorder="1" applyAlignment="1">
      <alignment horizontal="center" vertical="center" wrapText="1"/>
    </xf>
    <xf numFmtId="0" fontId="32" fillId="0" borderId="6" xfId="5" applyFont="1" applyFill="1" applyBorder="1" applyAlignment="1">
      <alignment horizontal="center" vertical="center" wrapText="1"/>
    </xf>
    <xf numFmtId="0" fontId="32" fillId="0" borderId="2" xfId="5" applyFont="1" applyFill="1" applyBorder="1" applyAlignment="1">
      <alignment horizontal="center" vertical="center" wrapText="1"/>
    </xf>
    <xf numFmtId="0" fontId="31" fillId="0" borderId="6" xfId="5" applyFont="1" applyFill="1" applyBorder="1" applyAlignment="1">
      <alignment horizontal="center" vertical="center"/>
    </xf>
    <xf numFmtId="0" fontId="31" fillId="0" borderId="2" xfId="5" applyFont="1" applyFill="1" applyBorder="1" applyAlignment="1">
      <alignment horizontal="center" vertical="center"/>
    </xf>
    <xf numFmtId="0" fontId="32" fillId="0" borderId="1" xfId="5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left" vertical="center" wrapText="1"/>
    </xf>
    <xf numFmtId="0" fontId="28" fillId="0" borderId="4" xfId="0" applyFont="1" applyFill="1" applyBorder="1" applyAlignment="1">
      <alignment horizontal="left" vertical="center" wrapText="1"/>
    </xf>
    <xf numFmtId="0" fontId="28" fillId="0" borderId="5" xfId="0" applyFont="1" applyFill="1" applyBorder="1" applyAlignment="1">
      <alignment horizontal="left" vertical="center" wrapText="1"/>
    </xf>
    <xf numFmtId="0" fontId="29" fillId="0" borderId="6" xfId="3" applyFont="1" applyFill="1" applyBorder="1" applyAlignment="1">
      <alignment horizontal="center" vertical="center" wrapText="1"/>
    </xf>
    <xf numFmtId="0" fontId="29" fillId="0" borderId="13" xfId="3" applyFont="1" applyFill="1" applyBorder="1" applyAlignment="1">
      <alignment horizontal="center" vertical="center" wrapText="1"/>
    </xf>
    <xf numFmtId="0" fontId="29" fillId="0" borderId="2" xfId="3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31" fillId="0" borderId="0" xfId="0" applyFont="1" applyFill="1" applyAlignment="1">
      <alignment horizontal="center" vertical="center" wrapText="1"/>
    </xf>
    <xf numFmtId="0" fontId="31" fillId="0" borderId="6" xfId="5" applyFont="1" applyFill="1" applyBorder="1" applyAlignment="1">
      <alignment horizontal="center" vertical="center" wrapText="1"/>
    </xf>
    <xf numFmtId="0" fontId="31" fillId="0" borderId="13" xfId="5" applyFont="1" applyFill="1" applyBorder="1" applyAlignment="1">
      <alignment horizontal="center" vertical="center" wrapText="1"/>
    </xf>
    <xf numFmtId="0" fontId="31" fillId="0" borderId="2" xfId="5" applyFont="1" applyFill="1" applyBorder="1" applyAlignment="1">
      <alignment horizontal="center" vertical="center" wrapText="1"/>
    </xf>
    <xf numFmtId="166" fontId="26" fillId="0" borderId="7" xfId="5" applyNumberFormat="1" applyFont="1" applyFill="1" applyBorder="1" applyAlignment="1">
      <alignment horizontal="center" vertical="center" wrapText="1"/>
    </xf>
    <xf numFmtId="166" fontId="26" fillId="0" borderId="8" xfId="5" applyNumberFormat="1" applyFont="1" applyFill="1" applyBorder="1" applyAlignment="1">
      <alignment horizontal="center" vertical="center" wrapText="1"/>
    </xf>
    <xf numFmtId="166" fontId="26" fillId="0" borderId="9" xfId="5" applyNumberFormat="1" applyFont="1" applyFill="1" applyBorder="1" applyAlignment="1">
      <alignment horizontal="center" vertical="center" wrapText="1"/>
    </xf>
    <xf numFmtId="166" fontId="26" fillId="0" borderId="10" xfId="5" applyNumberFormat="1" applyFont="1" applyFill="1" applyBorder="1" applyAlignment="1">
      <alignment horizontal="center" vertical="center" wrapText="1"/>
    </xf>
    <xf numFmtId="166" fontId="26" fillId="0" borderId="11" xfId="5" applyNumberFormat="1" applyFont="1" applyFill="1" applyBorder="1" applyAlignment="1">
      <alignment horizontal="center" vertical="center" wrapText="1"/>
    </xf>
    <xf numFmtId="166" fontId="26" fillId="0" borderId="12" xfId="5" applyNumberFormat="1" applyFont="1" applyFill="1" applyBorder="1" applyAlignment="1">
      <alignment horizontal="center" vertical="center" wrapText="1"/>
    </xf>
    <xf numFmtId="166" fontId="26" fillId="0" borderId="10" xfId="5" applyNumberFormat="1" applyFont="1" applyFill="1" applyBorder="1" applyAlignment="1">
      <alignment horizontal="left" vertical="center" wrapText="1"/>
    </xf>
    <xf numFmtId="166" fontId="26" fillId="0" borderId="11" xfId="5" applyNumberFormat="1" applyFont="1" applyFill="1" applyBorder="1" applyAlignment="1">
      <alignment horizontal="left" vertical="center" wrapText="1"/>
    </xf>
    <xf numFmtId="0" fontId="25" fillId="4" borderId="1" xfId="1" applyNumberFormat="1" applyFont="1" applyFill="1" applyBorder="1" applyAlignment="1">
      <alignment horizontal="center" vertical="top" wrapText="1"/>
    </xf>
    <xf numFmtId="0" fontId="24" fillId="4" borderId="1" xfId="1" applyNumberFormat="1" applyFont="1" applyFill="1" applyBorder="1" applyAlignment="1">
      <alignment horizontal="center" vertical="top" wrapText="1"/>
    </xf>
    <xf numFmtId="0" fontId="25" fillId="0" borderId="0" xfId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center" vertical="top" wrapText="1"/>
    </xf>
    <xf numFmtId="166" fontId="23" fillId="0" borderId="1" xfId="1" applyNumberFormat="1" applyFont="1" applyFill="1" applyBorder="1" applyAlignment="1">
      <alignment horizontal="center" vertical="top" wrapText="1"/>
    </xf>
    <xf numFmtId="0" fontId="25" fillId="0" borderId="1" xfId="1" applyFont="1" applyFill="1" applyBorder="1" applyAlignment="1">
      <alignment horizontal="center" vertical="top" wrapText="1"/>
    </xf>
    <xf numFmtId="0" fontId="12" fillId="0" borderId="0" xfId="2" applyFont="1" applyFill="1" applyAlignment="1">
      <alignment horizontal="justify"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center" vertical="center"/>
    </xf>
    <xf numFmtId="0" fontId="12" fillId="0" borderId="6" xfId="7" applyFont="1" applyFill="1" applyBorder="1" applyAlignment="1">
      <alignment horizontal="center" vertical="center"/>
    </xf>
    <xf numFmtId="0" fontId="12" fillId="0" borderId="13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0" fontId="12" fillId="0" borderId="6" xfId="7" applyFont="1" applyFill="1" applyBorder="1" applyAlignment="1">
      <alignment horizontal="center" vertical="center" wrapText="1"/>
    </xf>
    <xf numFmtId="0" fontId="12" fillId="0" borderId="13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3" xfId="7" applyNumberFormat="1" applyFont="1" applyFill="1" applyBorder="1" applyAlignment="1">
      <alignment horizontal="center" vertical="center"/>
    </xf>
    <xf numFmtId="168" fontId="12" fillId="0" borderId="2" xfId="7" applyNumberFormat="1" applyFont="1" applyFill="1" applyBorder="1" applyAlignment="1">
      <alignment horizontal="center" vertical="center"/>
    </xf>
    <xf numFmtId="0" fontId="12" fillId="0" borderId="7" xfId="7" applyFont="1" applyFill="1" applyBorder="1" applyAlignment="1">
      <alignment horizontal="center" vertical="center" wrapText="1"/>
    </xf>
    <xf numFmtId="0" fontId="12" fillId="0" borderId="8" xfId="7" applyFont="1" applyFill="1" applyBorder="1" applyAlignment="1">
      <alignment horizontal="center" vertical="center" wrapText="1"/>
    </xf>
    <xf numFmtId="0" fontId="12" fillId="0" borderId="14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14" xfId="7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7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6" fillId="0" borderId="1" xfId="7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3 2" xfId="7"/>
    <cellStyle name="Обычный 2 4" xfId="5"/>
    <cellStyle name="Обычный 3" xfId="3"/>
    <cellStyle name="Финансовый" xfId="6" builtinId="3"/>
    <cellStyle name="Финансовый 2" xfId="8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N72"/>
  <sheetViews>
    <sheetView zoomScale="90" zoomScaleNormal="90" workbookViewId="0">
      <pane ySplit="5" topLeftCell="A6" activePane="bottomLeft" state="frozen"/>
      <selection pane="bottomLeft" activeCell="I16" sqref="I16"/>
    </sheetView>
  </sheetViews>
  <sheetFormatPr defaultRowHeight="15" x14ac:dyDescent="0.25"/>
  <cols>
    <col min="1" max="1" width="5.28515625" style="5" customWidth="1"/>
    <col min="2" max="2" width="27.42578125" style="5" customWidth="1"/>
    <col min="3" max="3" width="30.85546875" style="5" customWidth="1"/>
    <col min="4" max="4" width="11.5703125" style="5" customWidth="1"/>
    <col min="5" max="5" width="19.140625" style="5" customWidth="1"/>
    <col min="6" max="6" width="11.140625" style="5" customWidth="1"/>
    <col min="7" max="14" width="10.28515625" style="5" bestFit="1" customWidth="1"/>
    <col min="15" max="16384" width="9.140625" style="5"/>
  </cols>
  <sheetData>
    <row r="1" spans="2:14" ht="72.75" customHeight="1" x14ac:dyDescent="0.25">
      <c r="H1" s="4"/>
      <c r="I1" s="4"/>
      <c r="J1" s="4"/>
      <c r="K1" s="170" t="s">
        <v>378</v>
      </c>
      <c r="L1" s="170"/>
      <c r="M1" s="170"/>
      <c r="N1" s="170"/>
    </row>
    <row r="2" spans="2:14" ht="31.5" customHeight="1" x14ac:dyDescent="0.25">
      <c r="B2" s="171" t="s">
        <v>379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</row>
    <row r="3" spans="2:14" ht="15.75" customHeight="1" x14ac:dyDescent="0.25"/>
    <row r="4" spans="2:14" ht="70.5" customHeight="1" x14ac:dyDescent="0.25">
      <c r="B4" s="165" t="s">
        <v>325</v>
      </c>
      <c r="C4" s="165" t="s">
        <v>324</v>
      </c>
      <c r="D4" s="165" t="s">
        <v>177</v>
      </c>
      <c r="E4" s="166" t="s">
        <v>335</v>
      </c>
      <c r="F4" s="165" t="s">
        <v>260</v>
      </c>
      <c r="G4" s="165"/>
      <c r="H4" s="165"/>
      <c r="I4" s="165"/>
      <c r="J4" s="165"/>
      <c r="K4" s="165"/>
      <c r="L4" s="165"/>
      <c r="M4" s="165"/>
      <c r="N4" s="165"/>
    </row>
    <row r="5" spans="2:14" x14ac:dyDescent="0.25">
      <c r="B5" s="165"/>
      <c r="C5" s="165"/>
      <c r="D5" s="165"/>
      <c r="E5" s="166"/>
      <c r="F5" s="59">
        <v>2017</v>
      </c>
      <c r="G5" s="59">
        <v>2018</v>
      </c>
      <c r="H5" s="59">
        <v>2019</v>
      </c>
      <c r="I5" s="59">
        <v>2020</v>
      </c>
      <c r="J5" s="59">
        <v>2021</v>
      </c>
      <c r="K5" s="59">
        <v>2022</v>
      </c>
      <c r="L5" s="59">
        <v>2023</v>
      </c>
      <c r="M5" s="59">
        <v>2024</v>
      </c>
      <c r="N5" s="59">
        <v>2025</v>
      </c>
    </row>
    <row r="6" spans="2:14" ht="28.5" customHeight="1" x14ac:dyDescent="0.25">
      <c r="B6" s="165" t="s">
        <v>261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2:14" x14ac:dyDescent="0.25">
      <c r="B7" s="165" t="s">
        <v>262</v>
      </c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</row>
    <row r="8" spans="2:14" ht="45" x14ac:dyDescent="0.25">
      <c r="B8" s="172" t="s">
        <v>263</v>
      </c>
      <c r="C8" s="60" t="s">
        <v>264</v>
      </c>
      <c r="D8" s="61" t="s">
        <v>259</v>
      </c>
      <c r="E8" s="61">
        <v>100</v>
      </c>
      <c r="F8" s="61">
        <v>100</v>
      </c>
      <c r="G8" s="61">
        <v>100</v>
      </c>
      <c r="H8" s="61">
        <v>100</v>
      </c>
      <c r="I8" s="61">
        <v>100</v>
      </c>
      <c r="J8" s="61">
        <v>100</v>
      </c>
      <c r="K8" s="61">
        <v>100</v>
      </c>
      <c r="L8" s="61">
        <v>100</v>
      </c>
      <c r="M8" s="61">
        <v>100</v>
      </c>
      <c r="N8" s="61">
        <v>100</v>
      </c>
    </row>
    <row r="9" spans="2:14" ht="60" x14ac:dyDescent="0.25">
      <c r="B9" s="172"/>
      <c r="C9" s="60" t="s">
        <v>265</v>
      </c>
      <c r="D9" s="61" t="s">
        <v>259</v>
      </c>
      <c r="E9" s="61">
        <v>100</v>
      </c>
      <c r="F9" s="61">
        <v>100</v>
      </c>
      <c r="G9" s="61">
        <v>100</v>
      </c>
      <c r="H9" s="61">
        <v>100</v>
      </c>
      <c r="I9" s="61">
        <v>100</v>
      </c>
      <c r="J9" s="61">
        <v>100</v>
      </c>
      <c r="K9" s="61">
        <v>100</v>
      </c>
      <c r="L9" s="61">
        <v>100</v>
      </c>
      <c r="M9" s="61">
        <v>100</v>
      </c>
      <c r="N9" s="61">
        <v>100</v>
      </c>
    </row>
    <row r="10" spans="2:14" ht="60" x14ac:dyDescent="0.25">
      <c r="B10" s="172"/>
      <c r="C10" s="60" t="s">
        <v>266</v>
      </c>
      <c r="D10" s="61" t="s">
        <v>259</v>
      </c>
      <c r="E10" s="61">
        <v>100</v>
      </c>
      <c r="F10" s="61">
        <v>100</v>
      </c>
      <c r="G10" s="61">
        <v>0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  <c r="M10" s="61">
        <v>0</v>
      </c>
      <c r="N10" s="61">
        <v>0</v>
      </c>
    </row>
    <row r="11" spans="2:14" x14ac:dyDescent="0.25">
      <c r="B11" s="164" t="s">
        <v>267</v>
      </c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</row>
    <row r="12" spans="2:14" ht="105.75" customHeight="1" x14ac:dyDescent="0.25">
      <c r="B12" s="163" t="s">
        <v>356</v>
      </c>
      <c r="C12" s="60" t="s">
        <v>268</v>
      </c>
      <c r="D12" s="61" t="s">
        <v>259</v>
      </c>
      <c r="E12" s="61">
        <v>100</v>
      </c>
      <c r="F12" s="61">
        <v>100</v>
      </c>
      <c r="G12" s="61">
        <v>100</v>
      </c>
      <c r="H12" s="61">
        <v>100</v>
      </c>
      <c r="I12" s="61">
        <v>100</v>
      </c>
      <c r="J12" s="61">
        <v>100</v>
      </c>
      <c r="K12" s="61">
        <v>100</v>
      </c>
      <c r="L12" s="150">
        <v>95.5</v>
      </c>
      <c r="M12" s="150">
        <v>95.5</v>
      </c>
      <c r="N12" s="150">
        <v>95.5</v>
      </c>
    </row>
    <row r="13" spans="2:14" ht="150" x14ac:dyDescent="0.25">
      <c r="B13" s="163"/>
      <c r="C13" s="62" t="s">
        <v>355</v>
      </c>
      <c r="D13" s="61" t="s">
        <v>259</v>
      </c>
      <c r="E13" s="61">
        <v>0</v>
      </c>
      <c r="F13" s="61">
        <v>0</v>
      </c>
      <c r="G13" s="61">
        <v>0</v>
      </c>
      <c r="H13" s="61">
        <v>100</v>
      </c>
      <c r="I13" s="61">
        <v>100</v>
      </c>
      <c r="J13" s="61">
        <v>0</v>
      </c>
      <c r="K13" s="61">
        <v>0</v>
      </c>
      <c r="L13" s="61">
        <v>0</v>
      </c>
      <c r="M13" s="61">
        <v>0</v>
      </c>
      <c r="N13" s="61">
        <v>0</v>
      </c>
    </row>
    <row r="14" spans="2:14" x14ac:dyDescent="0.25">
      <c r="B14" s="164" t="s">
        <v>269</v>
      </c>
      <c r="C14" s="164"/>
      <c r="D14" s="164"/>
      <c r="E14" s="164"/>
      <c r="F14" s="164"/>
      <c r="G14" s="164"/>
      <c r="H14" s="164"/>
      <c r="I14" s="164"/>
      <c r="J14" s="164"/>
      <c r="K14" s="164"/>
      <c r="L14" s="63"/>
      <c r="M14" s="63"/>
      <c r="N14" s="63"/>
    </row>
    <row r="15" spans="2:14" ht="105" x14ac:dyDescent="0.25">
      <c r="B15" s="163" t="s">
        <v>485</v>
      </c>
      <c r="C15" s="60" t="s">
        <v>270</v>
      </c>
      <c r="D15" s="61" t="s">
        <v>259</v>
      </c>
      <c r="E15" s="61">
        <v>0</v>
      </c>
      <c r="F15" s="61">
        <v>36</v>
      </c>
      <c r="G15" s="64">
        <v>44</v>
      </c>
      <c r="H15" s="61">
        <v>51</v>
      </c>
      <c r="I15" s="61">
        <v>25</v>
      </c>
      <c r="J15" s="61">
        <v>29.5</v>
      </c>
      <c r="K15" s="78">
        <v>39.5</v>
      </c>
      <c r="L15" s="150">
        <v>40.9</v>
      </c>
      <c r="M15" s="150">
        <v>40.9</v>
      </c>
      <c r="N15" s="150">
        <v>31.8</v>
      </c>
    </row>
    <row r="16" spans="2:14" ht="180" customHeight="1" x14ac:dyDescent="0.25">
      <c r="B16" s="163"/>
      <c r="C16" s="60" t="s">
        <v>271</v>
      </c>
      <c r="D16" s="61" t="s">
        <v>259</v>
      </c>
      <c r="E16" s="61">
        <v>0</v>
      </c>
      <c r="F16" s="61">
        <v>5.6</v>
      </c>
      <c r="G16" s="61">
        <v>31.3</v>
      </c>
      <c r="H16" s="61">
        <v>11</v>
      </c>
      <c r="I16" s="61">
        <v>5</v>
      </c>
      <c r="J16" s="61">
        <v>20</v>
      </c>
      <c r="K16" s="78">
        <v>29.6</v>
      </c>
      <c r="L16" s="150">
        <v>17.899999999999999</v>
      </c>
      <c r="M16" s="150">
        <v>28.6</v>
      </c>
      <c r="N16" s="150">
        <v>25</v>
      </c>
    </row>
    <row r="17" spans="2:14" ht="110.25" customHeight="1" x14ac:dyDescent="0.25">
      <c r="B17" s="60" t="s">
        <v>272</v>
      </c>
      <c r="C17" s="60" t="s">
        <v>273</v>
      </c>
      <c r="D17" s="61" t="s">
        <v>259</v>
      </c>
      <c r="E17" s="61">
        <v>100</v>
      </c>
      <c r="F17" s="61">
        <v>100</v>
      </c>
      <c r="G17" s="61">
        <v>100</v>
      </c>
      <c r="H17" s="61">
        <v>100</v>
      </c>
      <c r="I17" s="61">
        <v>100</v>
      </c>
      <c r="J17" s="61">
        <v>100</v>
      </c>
      <c r="K17" s="61">
        <v>100</v>
      </c>
      <c r="L17" s="61">
        <v>100</v>
      </c>
      <c r="M17" s="61">
        <v>100</v>
      </c>
      <c r="N17" s="61">
        <v>100</v>
      </c>
    </row>
    <row r="18" spans="2:14" ht="110.25" customHeight="1" x14ac:dyDescent="0.25">
      <c r="B18" s="60" t="s">
        <v>274</v>
      </c>
      <c r="C18" s="60" t="s">
        <v>275</v>
      </c>
      <c r="D18" s="61" t="s">
        <v>276</v>
      </c>
      <c r="E18" s="61">
        <v>11</v>
      </c>
      <c r="F18" s="61">
        <v>11</v>
      </c>
      <c r="G18" s="61">
        <v>11</v>
      </c>
      <c r="H18" s="61">
        <v>11</v>
      </c>
      <c r="I18" s="61">
        <v>10</v>
      </c>
      <c r="J18" s="61">
        <v>0</v>
      </c>
      <c r="K18" s="61">
        <v>0</v>
      </c>
      <c r="L18" s="61">
        <v>0</v>
      </c>
      <c r="M18" s="61">
        <v>0</v>
      </c>
      <c r="N18" s="61">
        <v>0</v>
      </c>
    </row>
    <row r="19" spans="2:14" ht="120" x14ac:dyDescent="0.25">
      <c r="B19" s="60" t="s">
        <v>277</v>
      </c>
      <c r="C19" s="60" t="s">
        <v>278</v>
      </c>
      <c r="D19" s="61" t="s">
        <v>259</v>
      </c>
      <c r="E19" s="61">
        <v>0</v>
      </c>
      <c r="F19" s="61">
        <v>100</v>
      </c>
      <c r="G19" s="61">
        <v>100</v>
      </c>
      <c r="H19" s="61">
        <v>100</v>
      </c>
      <c r="I19" s="61">
        <v>100</v>
      </c>
      <c r="J19" s="61">
        <v>100</v>
      </c>
      <c r="K19" s="61">
        <v>100</v>
      </c>
      <c r="L19" s="61">
        <v>100</v>
      </c>
      <c r="M19" s="61">
        <v>100</v>
      </c>
      <c r="N19" s="61">
        <v>100</v>
      </c>
    </row>
    <row r="20" spans="2:14" ht="15.75" customHeight="1" x14ac:dyDescent="0.25">
      <c r="B20" s="164" t="s">
        <v>279</v>
      </c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</row>
    <row r="21" spans="2:14" x14ac:dyDescent="0.25">
      <c r="B21" s="164" t="s">
        <v>262</v>
      </c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</row>
    <row r="22" spans="2:14" ht="45" x14ac:dyDescent="0.25">
      <c r="B22" s="167" t="s">
        <v>280</v>
      </c>
      <c r="C22" s="60" t="s">
        <v>281</v>
      </c>
      <c r="D22" s="61" t="s">
        <v>282</v>
      </c>
      <c r="E22" s="61">
        <v>0</v>
      </c>
      <c r="F22" s="61">
        <v>3</v>
      </c>
      <c r="G22" s="61">
        <v>0</v>
      </c>
      <c r="H22" s="61">
        <v>0</v>
      </c>
      <c r="I22" s="61">
        <v>0</v>
      </c>
      <c r="J22" s="61">
        <v>20</v>
      </c>
      <c r="K22" s="61">
        <v>0</v>
      </c>
      <c r="L22" s="61">
        <v>0</v>
      </c>
      <c r="M22" s="61">
        <v>0</v>
      </c>
      <c r="N22" s="61">
        <v>0</v>
      </c>
    </row>
    <row r="23" spans="2:14" ht="30" x14ac:dyDescent="0.25">
      <c r="B23" s="168"/>
      <c r="C23" s="60" t="s">
        <v>283</v>
      </c>
      <c r="D23" s="61" t="s">
        <v>282</v>
      </c>
      <c r="E23" s="61">
        <v>0</v>
      </c>
      <c r="F23" s="61">
        <v>4</v>
      </c>
      <c r="G23" s="65">
        <v>4</v>
      </c>
      <c r="H23" s="61">
        <v>3</v>
      </c>
      <c r="I23" s="61">
        <v>3</v>
      </c>
      <c r="J23" s="61">
        <v>3</v>
      </c>
      <c r="K23" s="61">
        <v>0</v>
      </c>
      <c r="L23" s="61">
        <v>0</v>
      </c>
      <c r="M23" s="61">
        <v>0</v>
      </c>
      <c r="N23" s="61">
        <v>0</v>
      </c>
    </row>
    <row r="24" spans="2:14" ht="90" x14ac:dyDescent="0.25">
      <c r="B24" s="168"/>
      <c r="C24" s="60" t="s">
        <v>284</v>
      </c>
      <c r="D24" s="61" t="s">
        <v>282</v>
      </c>
      <c r="E24" s="61">
        <v>0</v>
      </c>
      <c r="F24" s="61">
        <v>1</v>
      </c>
      <c r="G24" s="61">
        <v>4</v>
      </c>
      <c r="H24" s="61">
        <v>25</v>
      </c>
      <c r="I24" s="61">
        <v>45</v>
      </c>
      <c r="J24" s="61">
        <v>0</v>
      </c>
      <c r="K24" s="61">
        <v>0</v>
      </c>
      <c r="L24" s="61">
        <v>0</v>
      </c>
      <c r="M24" s="61">
        <v>0</v>
      </c>
      <c r="N24" s="61">
        <v>0</v>
      </c>
    </row>
    <row r="25" spans="2:14" ht="60" x14ac:dyDescent="0.25">
      <c r="B25" s="168"/>
      <c r="C25" s="60" t="s">
        <v>285</v>
      </c>
      <c r="D25" s="61" t="s">
        <v>282</v>
      </c>
      <c r="E25" s="61">
        <v>10</v>
      </c>
      <c r="F25" s="61">
        <v>10</v>
      </c>
      <c r="G25" s="61">
        <v>10</v>
      </c>
      <c r="H25" s="61">
        <v>10</v>
      </c>
      <c r="I25" s="61">
        <v>10</v>
      </c>
      <c r="J25" s="61">
        <v>10</v>
      </c>
      <c r="K25" s="61">
        <v>0</v>
      </c>
      <c r="L25" s="61">
        <v>0</v>
      </c>
      <c r="M25" s="61">
        <v>0</v>
      </c>
      <c r="N25" s="61">
        <v>0</v>
      </c>
    </row>
    <row r="26" spans="2:14" ht="105" x14ac:dyDescent="0.25">
      <c r="B26" s="168"/>
      <c r="C26" s="60" t="s">
        <v>286</v>
      </c>
      <c r="D26" s="61" t="s">
        <v>287</v>
      </c>
      <c r="E26" s="61">
        <v>0</v>
      </c>
      <c r="F26" s="61">
        <v>6</v>
      </c>
      <c r="G26" s="61">
        <v>7</v>
      </c>
      <c r="H26" s="61">
        <v>1</v>
      </c>
      <c r="I26" s="61">
        <v>0</v>
      </c>
      <c r="J26" s="61">
        <v>1</v>
      </c>
      <c r="K26" s="61">
        <v>0</v>
      </c>
      <c r="L26" s="61">
        <v>0</v>
      </c>
      <c r="M26" s="61">
        <v>0</v>
      </c>
      <c r="N26" s="61">
        <v>0</v>
      </c>
    </row>
    <row r="27" spans="2:14" ht="75" x14ac:dyDescent="0.25">
      <c r="B27" s="168"/>
      <c r="C27" s="66" t="s">
        <v>396</v>
      </c>
      <c r="D27" s="61" t="s">
        <v>288</v>
      </c>
      <c r="E27" s="61">
        <v>0</v>
      </c>
      <c r="F27" s="61">
        <v>0</v>
      </c>
      <c r="G27" s="65">
        <v>1</v>
      </c>
      <c r="H27" s="61">
        <v>3</v>
      </c>
      <c r="I27" s="61">
        <v>2</v>
      </c>
      <c r="J27" s="61">
        <v>8</v>
      </c>
      <c r="K27" s="61">
        <v>0</v>
      </c>
      <c r="L27" s="61">
        <v>0</v>
      </c>
      <c r="M27" s="61">
        <v>0</v>
      </c>
      <c r="N27" s="61">
        <v>0</v>
      </c>
    </row>
    <row r="28" spans="2:14" ht="48" customHeight="1" x14ac:dyDescent="0.25">
      <c r="B28" s="168"/>
      <c r="C28" s="60" t="s">
        <v>349</v>
      </c>
      <c r="D28" s="61" t="s">
        <v>288</v>
      </c>
      <c r="E28" s="61">
        <v>0</v>
      </c>
      <c r="F28" s="61">
        <v>0</v>
      </c>
      <c r="G28" s="65">
        <v>1</v>
      </c>
      <c r="H28" s="61">
        <v>0</v>
      </c>
      <c r="I28" s="61">
        <v>3</v>
      </c>
      <c r="J28" s="61">
        <v>0</v>
      </c>
      <c r="K28" s="61">
        <v>0</v>
      </c>
      <c r="L28" s="61">
        <v>0</v>
      </c>
      <c r="M28" s="61">
        <v>0</v>
      </c>
      <c r="N28" s="61">
        <v>0</v>
      </c>
    </row>
    <row r="29" spans="2:14" ht="48" customHeight="1" x14ac:dyDescent="0.25">
      <c r="B29" s="168"/>
      <c r="C29" s="66" t="s">
        <v>374</v>
      </c>
      <c r="D29" s="61" t="s">
        <v>375</v>
      </c>
      <c r="E29" s="61">
        <v>0</v>
      </c>
      <c r="F29" s="61">
        <v>0</v>
      </c>
      <c r="G29" s="65">
        <v>0</v>
      </c>
      <c r="H29" s="61">
        <v>0</v>
      </c>
      <c r="I29" s="61">
        <v>0</v>
      </c>
      <c r="J29" s="61">
        <v>2</v>
      </c>
      <c r="K29" s="61">
        <v>0</v>
      </c>
      <c r="L29" s="61">
        <v>0</v>
      </c>
      <c r="M29" s="61">
        <v>0</v>
      </c>
      <c r="N29" s="61">
        <v>0</v>
      </c>
    </row>
    <row r="30" spans="2:14" ht="48" customHeight="1" x14ac:dyDescent="0.25">
      <c r="B30" s="168"/>
      <c r="C30" s="66" t="s">
        <v>438</v>
      </c>
      <c r="D30" s="61" t="s">
        <v>422</v>
      </c>
      <c r="E30" s="61">
        <v>0</v>
      </c>
      <c r="F30" s="61">
        <v>0</v>
      </c>
      <c r="G30" s="65">
        <v>0</v>
      </c>
      <c r="H30" s="61">
        <v>0</v>
      </c>
      <c r="I30" s="61">
        <v>0</v>
      </c>
      <c r="J30" s="61">
        <v>1</v>
      </c>
      <c r="K30" s="61">
        <v>0</v>
      </c>
      <c r="L30" s="61">
        <v>0</v>
      </c>
      <c r="M30" s="61">
        <v>0</v>
      </c>
      <c r="N30" s="61">
        <v>0</v>
      </c>
    </row>
    <row r="31" spans="2:14" ht="91.5" customHeight="1" x14ac:dyDescent="0.25">
      <c r="B31" s="168"/>
      <c r="C31" s="66" t="s">
        <v>392</v>
      </c>
      <c r="D31" s="67" t="s">
        <v>259</v>
      </c>
      <c r="E31" s="61">
        <v>0</v>
      </c>
      <c r="F31" s="61">
        <v>0</v>
      </c>
      <c r="G31" s="61">
        <v>0</v>
      </c>
      <c r="H31" s="61">
        <v>0</v>
      </c>
      <c r="I31" s="61">
        <v>0</v>
      </c>
      <c r="J31" s="61">
        <v>100</v>
      </c>
      <c r="K31" s="61">
        <v>0</v>
      </c>
      <c r="L31" s="61">
        <v>0</v>
      </c>
      <c r="M31" s="61">
        <v>0</v>
      </c>
      <c r="N31" s="61">
        <v>0</v>
      </c>
    </row>
    <row r="32" spans="2:14" ht="44.25" customHeight="1" x14ac:dyDescent="0.25">
      <c r="B32" s="168"/>
      <c r="C32" s="74" t="s">
        <v>459</v>
      </c>
      <c r="D32" s="67" t="s">
        <v>282</v>
      </c>
      <c r="E32" s="73">
        <v>0</v>
      </c>
      <c r="F32" s="73">
        <v>0</v>
      </c>
      <c r="G32" s="73">
        <v>0</v>
      </c>
      <c r="H32" s="73">
        <v>0</v>
      </c>
      <c r="I32" s="73">
        <v>0</v>
      </c>
      <c r="J32" s="73">
        <v>30</v>
      </c>
      <c r="K32" s="73">
        <v>0</v>
      </c>
      <c r="L32" s="73">
        <v>0</v>
      </c>
      <c r="M32" s="73">
        <v>0</v>
      </c>
      <c r="N32" s="73">
        <v>0</v>
      </c>
    </row>
    <row r="33" spans="2:14" ht="44.25" customHeight="1" x14ac:dyDescent="0.25">
      <c r="B33" s="169"/>
      <c r="C33" s="79" t="s">
        <v>482</v>
      </c>
      <c r="D33" s="67" t="s">
        <v>282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2</v>
      </c>
      <c r="K33" s="77">
        <v>0</v>
      </c>
      <c r="L33" s="77">
        <v>0</v>
      </c>
      <c r="M33" s="77">
        <v>0</v>
      </c>
      <c r="N33" s="77">
        <v>0</v>
      </c>
    </row>
    <row r="34" spans="2:14" ht="60" x14ac:dyDescent="0.25">
      <c r="B34" s="167" t="s">
        <v>168</v>
      </c>
      <c r="C34" s="60" t="s">
        <v>289</v>
      </c>
      <c r="D34" s="61" t="s">
        <v>288</v>
      </c>
      <c r="E34" s="61">
        <v>0</v>
      </c>
      <c r="F34" s="61">
        <v>0</v>
      </c>
      <c r="G34" s="65">
        <v>0</v>
      </c>
      <c r="H34" s="61">
        <v>1</v>
      </c>
      <c r="I34" s="61">
        <v>0</v>
      </c>
      <c r="J34" s="61">
        <v>0</v>
      </c>
      <c r="K34" s="61">
        <v>0</v>
      </c>
      <c r="L34" s="61">
        <v>0</v>
      </c>
      <c r="M34" s="61">
        <v>0</v>
      </c>
      <c r="N34" s="61">
        <v>0</v>
      </c>
    </row>
    <row r="35" spans="2:14" ht="30" x14ac:dyDescent="0.25">
      <c r="B35" s="168"/>
      <c r="C35" s="76" t="s">
        <v>419</v>
      </c>
      <c r="D35" s="61" t="s">
        <v>244</v>
      </c>
      <c r="E35" s="61">
        <v>0</v>
      </c>
      <c r="F35" s="61">
        <v>0</v>
      </c>
      <c r="G35" s="65">
        <v>0</v>
      </c>
      <c r="H35" s="61">
        <v>0</v>
      </c>
      <c r="I35" s="61">
        <v>0</v>
      </c>
      <c r="J35" s="61">
        <v>3</v>
      </c>
      <c r="K35" s="61">
        <v>0</v>
      </c>
      <c r="L35" s="61">
        <v>0</v>
      </c>
      <c r="M35" s="61">
        <v>0</v>
      </c>
      <c r="N35" s="61">
        <v>0</v>
      </c>
    </row>
    <row r="36" spans="2:14" ht="30" x14ac:dyDescent="0.25">
      <c r="B36" s="168"/>
      <c r="C36" s="76" t="s">
        <v>420</v>
      </c>
      <c r="D36" s="61" t="s">
        <v>244</v>
      </c>
      <c r="E36" s="61">
        <v>0</v>
      </c>
      <c r="F36" s="61">
        <v>0</v>
      </c>
      <c r="G36" s="65">
        <v>0</v>
      </c>
      <c r="H36" s="61">
        <v>0</v>
      </c>
      <c r="I36" s="61">
        <v>0</v>
      </c>
      <c r="J36" s="61">
        <v>5</v>
      </c>
      <c r="K36" s="61">
        <v>0</v>
      </c>
      <c r="L36" s="61">
        <v>0</v>
      </c>
      <c r="M36" s="61">
        <v>0</v>
      </c>
      <c r="N36" s="61">
        <v>0</v>
      </c>
    </row>
    <row r="37" spans="2:14" ht="30" x14ac:dyDescent="0.25">
      <c r="B37" s="168"/>
      <c r="C37" s="76" t="s">
        <v>486</v>
      </c>
      <c r="D37" s="61" t="s">
        <v>244</v>
      </c>
      <c r="E37" s="61">
        <v>0</v>
      </c>
      <c r="F37" s="61">
        <v>0</v>
      </c>
      <c r="G37" s="65">
        <v>0</v>
      </c>
      <c r="H37" s="61">
        <v>0</v>
      </c>
      <c r="I37" s="61">
        <v>0</v>
      </c>
      <c r="J37" s="61">
        <v>1</v>
      </c>
      <c r="K37" s="61">
        <v>0</v>
      </c>
      <c r="L37" s="61">
        <v>0</v>
      </c>
      <c r="M37" s="61">
        <v>0</v>
      </c>
      <c r="N37" s="61">
        <v>0</v>
      </c>
    </row>
    <row r="38" spans="2:14" ht="30" x14ac:dyDescent="0.25">
      <c r="B38" s="168"/>
      <c r="C38" s="76" t="s">
        <v>421</v>
      </c>
      <c r="D38" s="61" t="s">
        <v>244</v>
      </c>
      <c r="E38" s="61">
        <v>0</v>
      </c>
      <c r="F38" s="61">
        <v>0</v>
      </c>
      <c r="G38" s="65">
        <v>0</v>
      </c>
      <c r="H38" s="61">
        <v>0</v>
      </c>
      <c r="I38" s="61">
        <v>0</v>
      </c>
      <c r="J38" s="61">
        <v>1</v>
      </c>
      <c r="K38" s="61">
        <v>0</v>
      </c>
      <c r="L38" s="61">
        <v>0</v>
      </c>
      <c r="M38" s="61">
        <v>0</v>
      </c>
      <c r="N38" s="61">
        <v>0</v>
      </c>
    </row>
    <row r="39" spans="2:14" ht="45" x14ac:dyDescent="0.25">
      <c r="B39" s="169"/>
      <c r="C39" s="76" t="s">
        <v>461</v>
      </c>
      <c r="D39" s="75" t="s">
        <v>462</v>
      </c>
      <c r="E39" s="75">
        <v>0</v>
      </c>
      <c r="F39" s="75">
        <v>0</v>
      </c>
      <c r="G39" s="65">
        <v>0</v>
      </c>
      <c r="H39" s="75">
        <v>0</v>
      </c>
      <c r="I39" s="75">
        <v>0</v>
      </c>
      <c r="J39" s="75">
        <v>1</v>
      </c>
      <c r="K39" s="75">
        <v>0</v>
      </c>
      <c r="L39" s="75">
        <v>0</v>
      </c>
      <c r="M39" s="75">
        <v>0</v>
      </c>
      <c r="N39" s="75">
        <v>0</v>
      </c>
    </row>
    <row r="40" spans="2:14" ht="42.75" customHeight="1" x14ac:dyDescent="0.25">
      <c r="B40" s="164" t="s">
        <v>290</v>
      </c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</row>
    <row r="41" spans="2:14" x14ac:dyDescent="0.25">
      <c r="B41" s="164" t="s">
        <v>262</v>
      </c>
      <c r="C41" s="164"/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</row>
    <row r="42" spans="2:14" ht="114" customHeight="1" x14ac:dyDescent="0.25">
      <c r="B42" s="60" t="s">
        <v>291</v>
      </c>
      <c r="C42" s="60" t="s">
        <v>292</v>
      </c>
      <c r="D42" s="61" t="s">
        <v>259</v>
      </c>
      <c r="E42" s="67">
        <v>100</v>
      </c>
      <c r="F42" s="61">
        <v>100</v>
      </c>
      <c r="G42" s="61">
        <v>100</v>
      </c>
      <c r="H42" s="61">
        <v>100</v>
      </c>
      <c r="I42" s="61">
        <v>100</v>
      </c>
      <c r="J42" s="61">
        <v>100</v>
      </c>
      <c r="K42" s="61">
        <v>100</v>
      </c>
      <c r="L42" s="61">
        <v>100</v>
      </c>
      <c r="M42" s="61">
        <v>100</v>
      </c>
      <c r="N42" s="61">
        <v>100</v>
      </c>
    </row>
    <row r="43" spans="2:14" ht="117" customHeight="1" x14ac:dyDescent="0.25">
      <c r="B43" s="172" t="s">
        <v>293</v>
      </c>
      <c r="C43" s="173" t="s">
        <v>336</v>
      </c>
      <c r="D43" s="163" t="s">
        <v>282</v>
      </c>
      <c r="E43" s="163">
        <v>15</v>
      </c>
      <c r="F43" s="163">
        <v>15</v>
      </c>
      <c r="G43" s="163">
        <v>4</v>
      </c>
      <c r="H43" s="163">
        <v>39</v>
      </c>
      <c r="I43" s="163">
        <v>28</v>
      </c>
      <c r="J43" s="163">
        <v>17</v>
      </c>
      <c r="K43" s="163">
        <v>16</v>
      </c>
      <c r="L43" s="163">
        <v>15</v>
      </c>
      <c r="M43" s="163">
        <v>15</v>
      </c>
      <c r="N43" s="163">
        <v>15</v>
      </c>
    </row>
    <row r="44" spans="2:14" ht="15.75" hidden="1" customHeight="1" thickBot="1" x14ac:dyDescent="0.3">
      <c r="B44" s="172"/>
      <c r="C44" s="17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</row>
    <row r="45" spans="2:14" ht="28.5" customHeight="1" x14ac:dyDescent="0.25">
      <c r="B45" s="165" t="s">
        <v>294</v>
      </c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</row>
    <row r="46" spans="2:14" x14ac:dyDescent="0.25">
      <c r="B46" s="164" t="s">
        <v>262</v>
      </c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64"/>
      <c r="N46" s="164"/>
    </row>
    <row r="47" spans="2:14" ht="105" x14ac:dyDescent="0.25">
      <c r="B47" s="60" t="s">
        <v>295</v>
      </c>
      <c r="C47" s="60" t="s">
        <v>296</v>
      </c>
      <c r="D47" s="61" t="s">
        <v>282</v>
      </c>
      <c r="E47" s="61">
        <v>212</v>
      </c>
      <c r="F47" s="61">
        <v>180</v>
      </c>
      <c r="G47" s="61">
        <v>180</v>
      </c>
      <c r="H47" s="61">
        <v>180</v>
      </c>
      <c r="I47" s="61">
        <v>180</v>
      </c>
      <c r="J47" s="61">
        <v>180</v>
      </c>
      <c r="K47" s="61">
        <v>180</v>
      </c>
      <c r="L47" s="61">
        <v>180</v>
      </c>
      <c r="M47" s="61">
        <v>180</v>
      </c>
      <c r="N47" s="61">
        <v>180</v>
      </c>
    </row>
    <row r="48" spans="2:14" x14ac:dyDescent="0.25">
      <c r="B48" s="164" t="s">
        <v>267</v>
      </c>
      <c r="C48" s="164"/>
      <c r="D48" s="164"/>
      <c r="E48" s="164"/>
      <c r="F48" s="164"/>
      <c r="G48" s="164"/>
      <c r="H48" s="164"/>
      <c r="I48" s="164"/>
      <c r="J48" s="164"/>
      <c r="K48" s="164"/>
      <c r="L48" s="164"/>
      <c r="M48" s="164"/>
      <c r="N48" s="164"/>
    </row>
    <row r="49" spans="2:14" ht="90.75" customHeight="1" x14ac:dyDescent="0.25">
      <c r="B49" s="163" t="s">
        <v>297</v>
      </c>
      <c r="C49" s="60" t="s">
        <v>298</v>
      </c>
      <c r="D49" s="61" t="s">
        <v>282</v>
      </c>
      <c r="E49" s="61">
        <v>43</v>
      </c>
      <c r="F49" s="61">
        <v>45</v>
      </c>
      <c r="G49" s="61">
        <v>60</v>
      </c>
      <c r="H49" s="61">
        <v>86</v>
      </c>
      <c r="I49" s="61">
        <v>86</v>
      </c>
      <c r="J49" s="61">
        <v>41</v>
      </c>
      <c r="K49" s="61">
        <v>41</v>
      </c>
      <c r="L49" s="150">
        <v>93</v>
      </c>
      <c r="M49" s="150">
        <v>93</v>
      </c>
      <c r="N49" s="150">
        <v>93</v>
      </c>
    </row>
    <row r="50" spans="2:14" ht="60" x14ac:dyDescent="0.25">
      <c r="B50" s="163"/>
      <c r="C50" s="60" t="s">
        <v>299</v>
      </c>
      <c r="D50" s="61" t="s">
        <v>282</v>
      </c>
      <c r="E50" s="61">
        <v>26</v>
      </c>
      <c r="F50" s="61">
        <v>26</v>
      </c>
      <c r="G50" s="61">
        <v>26</v>
      </c>
      <c r="H50" s="61">
        <v>26</v>
      </c>
      <c r="I50" s="61">
        <v>26</v>
      </c>
      <c r="J50" s="61">
        <v>25</v>
      </c>
      <c r="K50" s="61">
        <v>25</v>
      </c>
      <c r="L50" s="150">
        <v>25</v>
      </c>
      <c r="M50" s="150">
        <v>25</v>
      </c>
      <c r="N50" s="150">
        <v>25</v>
      </c>
    </row>
    <row r="51" spans="2:14" ht="60" x14ac:dyDescent="0.25">
      <c r="B51" s="163"/>
      <c r="C51" s="62" t="s">
        <v>488</v>
      </c>
      <c r="D51" s="61" t="s">
        <v>489</v>
      </c>
      <c r="E51" s="61">
        <v>1410</v>
      </c>
      <c r="F51" s="61">
        <v>1500</v>
      </c>
      <c r="G51" s="61">
        <v>1500</v>
      </c>
      <c r="H51" s="61">
        <v>1500</v>
      </c>
      <c r="I51" s="61">
        <v>1500</v>
      </c>
      <c r="J51" s="61">
        <v>1500</v>
      </c>
      <c r="K51" s="61">
        <v>1500</v>
      </c>
      <c r="L51" s="61">
        <v>1500</v>
      </c>
      <c r="M51" s="61">
        <v>1500</v>
      </c>
      <c r="N51" s="61">
        <v>1500</v>
      </c>
    </row>
    <row r="52" spans="2:14" ht="60" x14ac:dyDescent="0.25">
      <c r="B52" s="163"/>
      <c r="C52" s="62" t="s">
        <v>487</v>
      </c>
      <c r="D52" s="61" t="s">
        <v>300</v>
      </c>
      <c r="E52" s="61">
        <v>120</v>
      </c>
      <c r="F52" s="61">
        <v>100</v>
      </c>
      <c r="G52" s="61">
        <v>100</v>
      </c>
      <c r="H52" s="61">
        <v>100</v>
      </c>
      <c r="I52" s="61">
        <v>100</v>
      </c>
      <c r="J52" s="61">
        <v>100</v>
      </c>
      <c r="K52" s="61">
        <v>100</v>
      </c>
      <c r="L52" s="61">
        <v>100</v>
      </c>
      <c r="M52" s="61">
        <v>100</v>
      </c>
      <c r="N52" s="61">
        <v>100</v>
      </c>
    </row>
    <row r="53" spans="2:14" ht="60" x14ac:dyDescent="0.25">
      <c r="B53" s="163"/>
      <c r="C53" s="68" t="s">
        <v>301</v>
      </c>
      <c r="D53" s="61" t="s">
        <v>302</v>
      </c>
      <c r="E53" s="61" t="s">
        <v>235</v>
      </c>
      <c r="F53" s="61" t="s">
        <v>235</v>
      </c>
      <c r="G53" s="61" t="s">
        <v>235</v>
      </c>
      <c r="H53" s="61" t="s">
        <v>235</v>
      </c>
      <c r="I53" s="61" t="s">
        <v>235</v>
      </c>
      <c r="J53" s="61" t="s">
        <v>235</v>
      </c>
      <c r="K53" s="61" t="s">
        <v>235</v>
      </c>
      <c r="L53" s="61" t="s">
        <v>235</v>
      </c>
      <c r="M53" s="61" t="s">
        <v>235</v>
      </c>
      <c r="N53" s="61" t="s">
        <v>235</v>
      </c>
    </row>
    <row r="54" spans="2:14" ht="28.5" customHeight="1" x14ac:dyDescent="0.25">
      <c r="B54" s="164" t="s">
        <v>303</v>
      </c>
      <c r="C54" s="164"/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</row>
    <row r="55" spans="2:14" x14ac:dyDescent="0.25">
      <c r="B55" s="164" t="s">
        <v>262</v>
      </c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</row>
    <row r="56" spans="2:14" ht="30.75" customHeight="1" x14ac:dyDescent="0.25">
      <c r="B56" s="163" t="s">
        <v>304</v>
      </c>
      <c r="C56" s="68" t="s">
        <v>305</v>
      </c>
      <c r="D56" s="61" t="s">
        <v>282</v>
      </c>
      <c r="E56" s="61">
        <v>20</v>
      </c>
      <c r="F56" s="61">
        <v>15</v>
      </c>
      <c r="G56" s="61">
        <v>15</v>
      </c>
      <c r="H56" s="61">
        <v>15</v>
      </c>
      <c r="I56" s="61">
        <v>14</v>
      </c>
      <c r="J56" s="61">
        <v>15</v>
      </c>
      <c r="K56" s="61">
        <v>15</v>
      </c>
      <c r="L56" s="150">
        <v>10</v>
      </c>
      <c r="M56" s="150">
        <v>10</v>
      </c>
      <c r="N56" s="150">
        <v>10</v>
      </c>
    </row>
    <row r="57" spans="2:14" ht="30" x14ac:dyDescent="0.25">
      <c r="B57" s="163"/>
      <c r="C57" s="68" t="s">
        <v>306</v>
      </c>
      <c r="D57" s="61" t="s">
        <v>307</v>
      </c>
      <c r="E57" s="61">
        <v>0</v>
      </c>
      <c r="F57" s="61">
        <v>20</v>
      </c>
      <c r="G57" s="61">
        <v>20</v>
      </c>
      <c r="H57" s="61">
        <v>21</v>
      </c>
      <c r="I57" s="61">
        <v>20</v>
      </c>
      <c r="J57" s="61">
        <v>20</v>
      </c>
      <c r="K57" s="61">
        <v>20</v>
      </c>
      <c r="L57" s="61">
        <v>20</v>
      </c>
      <c r="M57" s="61">
        <v>20</v>
      </c>
      <c r="N57" s="61">
        <v>20</v>
      </c>
    </row>
    <row r="58" spans="2:14" ht="30" x14ac:dyDescent="0.25">
      <c r="B58" s="163"/>
      <c r="C58" s="68" t="s">
        <v>308</v>
      </c>
      <c r="D58" s="61" t="s">
        <v>300</v>
      </c>
      <c r="E58" s="61">
        <v>0</v>
      </c>
      <c r="F58" s="61">
        <v>15</v>
      </c>
      <c r="G58" s="61">
        <v>0</v>
      </c>
      <c r="H58" s="61">
        <v>0</v>
      </c>
      <c r="I58" s="61">
        <v>0</v>
      </c>
      <c r="J58" s="61">
        <v>0</v>
      </c>
      <c r="K58" s="61">
        <v>0</v>
      </c>
      <c r="L58" s="61">
        <v>0</v>
      </c>
      <c r="M58" s="61">
        <v>0</v>
      </c>
      <c r="N58" s="61">
        <v>0</v>
      </c>
    </row>
    <row r="59" spans="2:14" ht="59.25" customHeight="1" x14ac:dyDescent="0.25">
      <c r="B59" s="163"/>
      <c r="C59" s="68" t="s">
        <v>309</v>
      </c>
      <c r="D59" s="61" t="s">
        <v>300</v>
      </c>
      <c r="E59" s="61">
        <v>0</v>
      </c>
      <c r="F59" s="61">
        <v>2</v>
      </c>
      <c r="G59" s="61">
        <v>0</v>
      </c>
      <c r="H59" s="61">
        <v>2</v>
      </c>
      <c r="I59" s="61">
        <v>0</v>
      </c>
      <c r="J59" s="61">
        <v>0</v>
      </c>
      <c r="K59" s="61">
        <v>0</v>
      </c>
      <c r="L59" s="61">
        <v>0</v>
      </c>
      <c r="M59" s="61">
        <v>0</v>
      </c>
      <c r="N59" s="61">
        <v>0</v>
      </c>
    </row>
    <row r="60" spans="2:14" ht="59.25" customHeight="1" x14ac:dyDescent="0.25">
      <c r="B60" s="163"/>
      <c r="C60" s="68" t="s">
        <v>423</v>
      </c>
      <c r="D60" s="61" t="s">
        <v>300</v>
      </c>
      <c r="E60" s="61">
        <v>0</v>
      </c>
      <c r="F60" s="61">
        <v>0</v>
      </c>
      <c r="G60" s="61">
        <v>0</v>
      </c>
      <c r="H60" s="61">
        <v>0</v>
      </c>
      <c r="I60" s="61">
        <v>0</v>
      </c>
      <c r="J60" s="61">
        <v>500</v>
      </c>
      <c r="K60" s="61">
        <v>0</v>
      </c>
      <c r="L60" s="61">
        <v>0</v>
      </c>
      <c r="M60" s="61">
        <v>0</v>
      </c>
      <c r="N60" s="61">
        <v>0</v>
      </c>
    </row>
    <row r="61" spans="2:14" ht="36" customHeight="1" x14ac:dyDescent="0.25">
      <c r="B61" s="163"/>
      <c r="C61" s="62" t="s">
        <v>397</v>
      </c>
      <c r="D61" s="61" t="s">
        <v>300</v>
      </c>
      <c r="E61" s="61">
        <v>0</v>
      </c>
      <c r="F61" s="61">
        <v>0</v>
      </c>
      <c r="G61" s="61">
        <v>0</v>
      </c>
      <c r="H61" s="61">
        <v>0</v>
      </c>
      <c r="I61" s="61">
        <v>0</v>
      </c>
      <c r="J61" s="61">
        <v>1</v>
      </c>
      <c r="K61" s="61">
        <v>0</v>
      </c>
      <c r="L61" s="61">
        <v>0</v>
      </c>
      <c r="M61" s="61">
        <v>0</v>
      </c>
      <c r="N61" s="61">
        <v>0</v>
      </c>
    </row>
    <row r="62" spans="2:14" ht="28.5" customHeight="1" x14ac:dyDescent="0.25">
      <c r="B62" s="164" t="s">
        <v>310</v>
      </c>
      <c r="C62" s="164"/>
      <c r="D62" s="164"/>
      <c r="E62" s="164"/>
      <c r="F62" s="164"/>
      <c r="G62" s="164"/>
      <c r="H62" s="164"/>
      <c r="I62" s="164"/>
      <c r="J62" s="164"/>
      <c r="K62" s="164"/>
      <c r="L62" s="164"/>
      <c r="M62" s="164"/>
      <c r="N62" s="164"/>
    </row>
    <row r="63" spans="2:14" x14ac:dyDescent="0.25">
      <c r="B63" s="164" t="s">
        <v>262</v>
      </c>
      <c r="C63" s="164"/>
      <c r="D63" s="164"/>
      <c r="E63" s="164"/>
      <c r="F63" s="164"/>
      <c r="G63" s="164"/>
      <c r="H63" s="164"/>
      <c r="I63" s="164"/>
      <c r="J63" s="164"/>
      <c r="K63" s="164"/>
      <c r="L63" s="164"/>
      <c r="M63" s="164"/>
      <c r="N63" s="164"/>
    </row>
    <row r="64" spans="2:14" ht="75" x14ac:dyDescent="0.25">
      <c r="B64" s="163" t="s">
        <v>311</v>
      </c>
      <c r="C64" s="68" t="s">
        <v>312</v>
      </c>
      <c r="D64" s="61" t="s">
        <v>313</v>
      </c>
      <c r="E64" s="61">
        <v>346</v>
      </c>
      <c r="F64" s="61">
        <v>306.3</v>
      </c>
      <c r="G64" s="69">
        <v>299.7</v>
      </c>
      <c r="H64" s="69">
        <v>265.5</v>
      </c>
      <c r="I64" s="69">
        <v>283.7</v>
      </c>
      <c r="J64" s="69">
        <v>289</v>
      </c>
      <c r="K64" s="69">
        <f>293.1-1.1-1.5-2.5-1.6+1.6-0.06-4.2-0.77</f>
        <v>282.97000000000003</v>
      </c>
      <c r="L64" s="69">
        <v>320.2</v>
      </c>
      <c r="M64" s="69">
        <v>320.2</v>
      </c>
      <c r="N64" s="69">
        <v>320.2</v>
      </c>
    </row>
    <row r="65" spans="2:14" ht="60" x14ac:dyDescent="0.25">
      <c r="B65" s="163"/>
      <c r="C65" s="68" t="s">
        <v>314</v>
      </c>
      <c r="D65" s="61" t="s">
        <v>315</v>
      </c>
      <c r="E65" s="61">
        <v>945</v>
      </c>
      <c r="F65" s="61">
        <v>946</v>
      </c>
      <c r="G65" s="70">
        <v>1440.8</v>
      </c>
      <c r="H65" s="70">
        <v>1435.1</v>
      </c>
      <c r="I65" s="70">
        <v>1766.19</v>
      </c>
      <c r="J65" s="71">
        <v>3217.8</v>
      </c>
      <c r="K65" s="71">
        <f>2289.4+23.4+1502.1+3.57-1.23-13.85-22.34</f>
        <v>3781.05</v>
      </c>
      <c r="L65" s="71">
        <v>2762.7</v>
      </c>
      <c r="M65" s="71">
        <v>2762.7</v>
      </c>
      <c r="N65" s="71">
        <v>2762.7</v>
      </c>
    </row>
    <row r="66" spans="2:14" ht="75" x14ac:dyDescent="0.25">
      <c r="B66" s="163"/>
      <c r="C66" s="68" t="s">
        <v>316</v>
      </c>
      <c r="D66" s="61"/>
      <c r="E66" s="61"/>
      <c r="F66" s="61"/>
      <c r="G66" s="61"/>
      <c r="H66" s="61"/>
      <c r="I66" s="61"/>
      <c r="J66" s="61"/>
      <c r="K66" s="61"/>
      <c r="L66" s="149"/>
      <c r="M66" s="149"/>
      <c r="N66" s="149"/>
    </row>
    <row r="67" spans="2:14" x14ac:dyDescent="0.25">
      <c r="B67" s="163"/>
      <c r="C67" s="72" t="s">
        <v>317</v>
      </c>
      <c r="D67" s="61" t="s">
        <v>318</v>
      </c>
      <c r="E67" s="61">
        <v>451</v>
      </c>
      <c r="F67" s="61">
        <v>380</v>
      </c>
      <c r="G67" s="61">
        <v>380</v>
      </c>
      <c r="H67" s="61">
        <v>304</v>
      </c>
      <c r="I67" s="61">
        <v>304</v>
      </c>
      <c r="J67" s="61">
        <v>303</v>
      </c>
      <c r="K67" s="61">
        <f>229-4</f>
        <v>225</v>
      </c>
      <c r="L67" s="149">
        <v>229</v>
      </c>
      <c r="M67" s="149">
        <v>229</v>
      </c>
      <c r="N67" s="149">
        <v>229</v>
      </c>
    </row>
    <row r="68" spans="2:14" x14ac:dyDescent="0.25">
      <c r="B68" s="163"/>
      <c r="C68" s="72" t="s">
        <v>319</v>
      </c>
      <c r="D68" s="61" t="s">
        <v>320</v>
      </c>
      <c r="E68" s="61">
        <v>59</v>
      </c>
      <c r="F68" s="61">
        <v>74</v>
      </c>
      <c r="G68" s="61">
        <v>69</v>
      </c>
      <c r="H68" s="61">
        <v>20</v>
      </c>
      <c r="I68" s="61">
        <v>29</v>
      </c>
      <c r="J68" s="61">
        <v>25</v>
      </c>
      <c r="K68" s="61">
        <v>25</v>
      </c>
      <c r="L68" s="149">
        <v>25</v>
      </c>
      <c r="M68" s="149">
        <v>29</v>
      </c>
      <c r="N68" s="149">
        <v>25</v>
      </c>
    </row>
    <row r="69" spans="2:14" x14ac:dyDescent="0.25">
      <c r="B69" s="163"/>
      <c r="C69" s="72" t="s">
        <v>321</v>
      </c>
      <c r="D69" s="61" t="s">
        <v>320</v>
      </c>
      <c r="E69" s="61">
        <v>2150</v>
      </c>
      <c r="F69" s="61">
        <v>209.1</v>
      </c>
      <c r="G69" s="61">
        <v>209.1</v>
      </c>
      <c r="H69" s="61">
        <v>221.3</v>
      </c>
      <c r="I69" s="69">
        <v>190.3</v>
      </c>
      <c r="J69" s="69">
        <v>293.89999999999998</v>
      </c>
      <c r="K69" s="69">
        <f>255.9-7.1-0.08</f>
        <v>248.72</v>
      </c>
      <c r="L69" s="69">
        <v>246.8</v>
      </c>
      <c r="M69" s="69">
        <v>246.8</v>
      </c>
      <c r="N69" s="69">
        <v>246.8</v>
      </c>
    </row>
    <row r="70" spans="2:14" x14ac:dyDescent="0.25">
      <c r="B70" s="163"/>
      <c r="C70" s="72" t="s">
        <v>395</v>
      </c>
      <c r="D70" s="61" t="s">
        <v>320</v>
      </c>
      <c r="E70" s="61">
        <v>0</v>
      </c>
      <c r="F70" s="61">
        <v>0</v>
      </c>
      <c r="G70" s="61">
        <v>0</v>
      </c>
      <c r="H70" s="61">
        <v>0</v>
      </c>
      <c r="I70" s="69">
        <v>0</v>
      </c>
      <c r="J70" s="69">
        <v>57.8</v>
      </c>
      <c r="K70" s="69">
        <f>59.6-0.75-0.8-0.3-0.9</f>
        <v>56.850000000000009</v>
      </c>
      <c r="L70" s="69">
        <v>68.900000000000006</v>
      </c>
      <c r="M70" s="69">
        <v>68.900000000000006</v>
      </c>
      <c r="N70" s="69">
        <v>68.900000000000006</v>
      </c>
    </row>
    <row r="71" spans="2:14" ht="105" x14ac:dyDescent="0.25">
      <c r="B71" s="60" t="s">
        <v>272</v>
      </c>
      <c r="C71" s="68" t="s">
        <v>273</v>
      </c>
      <c r="D71" s="61" t="s">
        <v>259</v>
      </c>
      <c r="E71" s="61">
        <v>100</v>
      </c>
      <c r="F71" s="61">
        <v>100</v>
      </c>
      <c r="G71" s="61">
        <v>100</v>
      </c>
      <c r="H71" s="61">
        <v>100</v>
      </c>
      <c r="I71" s="61">
        <v>100</v>
      </c>
      <c r="J71" s="61">
        <v>100</v>
      </c>
      <c r="K71" s="61">
        <v>100</v>
      </c>
      <c r="L71" s="149">
        <v>100</v>
      </c>
      <c r="M71" s="149">
        <v>100</v>
      </c>
      <c r="N71" s="149">
        <v>100</v>
      </c>
    </row>
    <row r="72" spans="2:14" ht="105" x14ac:dyDescent="0.25">
      <c r="B72" s="60" t="s">
        <v>322</v>
      </c>
      <c r="C72" s="68" t="s">
        <v>323</v>
      </c>
      <c r="D72" s="61" t="s">
        <v>259</v>
      </c>
      <c r="E72" s="61">
        <v>100</v>
      </c>
      <c r="F72" s="61">
        <v>100</v>
      </c>
      <c r="G72" s="61">
        <v>100</v>
      </c>
      <c r="H72" s="61">
        <v>100</v>
      </c>
      <c r="I72" s="61">
        <v>100</v>
      </c>
      <c r="J72" s="61">
        <v>100</v>
      </c>
      <c r="K72" s="61">
        <v>100</v>
      </c>
      <c r="L72" s="149">
        <v>100</v>
      </c>
      <c r="M72" s="149">
        <v>100</v>
      </c>
      <c r="N72" s="149">
        <v>100</v>
      </c>
    </row>
  </sheetData>
  <mergeCells count="43">
    <mergeCell ref="B45:N45"/>
    <mergeCell ref="K1:N1"/>
    <mergeCell ref="B2:N2"/>
    <mergeCell ref="J43:J44"/>
    <mergeCell ref="K43:K44"/>
    <mergeCell ref="B43:B44"/>
    <mergeCell ref="C43:C44"/>
    <mergeCell ref="D43:D44"/>
    <mergeCell ref="E43:E44"/>
    <mergeCell ref="F43:F44"/>
    <mergeCell ref="G43:G44"/>
    <mergeCell ref="H43:H44"/>
    <mergeCell ref="B8:B10"/>
    <mergeCell ref="B41:N41"/>
    <mergeCell ref="F4:N4"/>
    <mergeCell ref="B6:N6"/>
    <mergeCell ref="B7:N7"/>
    <mergeCell ref="B40:N40"/>
    <mergeCell ref="D4:D5"/>
    <mergeCell ref="E4:E5"/>
    <mergeCell ref="C4:C5"/>
    <mergeCell ref="B4:B5"/>
    <mergeCell ref="B15:B16"/>
    <mergeCell ref="B14:K14"/>
    <mergeCell ref="B12:B13"/>
    <mergeCell ref="B34:B39"/>
    <mergeCell ref="B22:B33"/>
    <mergeCell ref="B64:B70"/>
    <mergeCell ref="B63:N63"/>
    <mergeCell ref="B20:N20"/>
    <mergeCell ref="B21:N21"/>
    <mergeCell ref="B11:N11"/>
    <mergeCell ref="B46:N46"/>
    <mergeCell ref="B48:N48"/>
    <mergeCell ref="B54:N54"/>
    <mergeCell ref="B55:N55"/>
    <mergeCell ref="B62:N62"/>
    <mergeCell ref="L43:L44"/>
    <mergeCell ref="M43:M44"/>
    <mergeCell ref="N43:N44"/>
    <mergeCell ref="B49:B53"/>
    <mergeCell ref="I43:I44"/>
    <mergeCell ref="B56:B61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N72"/>
  <sheetViews>
    <sheetView zoomScale="90" zoomScaleNormal="90" workbookViewId="0">
      <pane ySplit="5" topLeftCell="A37" activePane="bottomLeft" state="frozen"/>
      <selection pane="bottomLeft" activeCell="L43" sqref="L43:L44"/>
    </sheetView>
  </sheetViews>
  <sheetFormatPr defaultRowHeight="15" x14ac:dyDescent="0.25"/>
  <cols>
    <col min="1" max="1" width="5.28515625" style="5" customWidth="1"/>
    <col min="2" max="2" width="27.42578125" style="5" customWidth="1"/>
    <col min="3" max="3" width="30.85546875" style="5" customWidth="1"/>
    <col min="4" max="4" width="11.5703125" style="5" customWidth="1"/>
    <col min="5" max="5" width="19.140625" style="5" customWidth="1"/>
    <col min="6" max="6" width="11.140625" style="5" customWidth="1"/>
    <col min="7" max="14" width="10.28515625" style="5" bestFit="1" customWidth="1"/>
    <col min="15" max="16384" width="9.140625" style="5"/>
  </cols>
  <sheetData>
    <row r="1" spans="2:14" ht="72.75" customHeight="1" x14ac:dyDescent="0.25">
      <c r="H1" s="4"/>
      <c r="I1" s="4"/>
      <c r="J1" s="4"/>
      <c r="K1" s="170" t="s">
        <v>378</v>
      </c>
      <c r="L1" s="170"/>
      <c r="M1" s="170"/>
      <c r="N1" s="170"/>
    </row>
    <row r="2" spans="2:14" ht="31.5" customHeight="1" x14ac:dyDescent="0.25">
      <c r="B2" s="171" t="s">
        <v>379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</row>
    <row r="3" spans="2:14" ht="15.75" customHeight="1" x14ac:dyDescent="0.25"/>
    <row r="4" spans="2:14" ht="70.5" customHeight="1" x14ac:dyDescent="0.25">
      <c r="B4" s="165" t="s">
        <v>325</v>
      </c>
      <c r="C4" s="165" t="s">
        <v>324</v>
      </c>
      <c r="D4" s="165" t="s">
        <v>177</v>
      </c>
      <c r="E4" s="166" t="s">
        <v>335</v>
      </c>
      <c r="F4" s="165" t="s">
        <v>260</v>
      </c>
      <c r="G4" s="165"/>
      <c r="H4" s="165"/>
      <c r="I4" s="165"/>
      <c r="J4" s="165"/>
      <c r="K4" s="165"/>
      <c r="L4" s="165"/>
      <c r="M4" s="165"/>
      <c r="N4" s="165"/>
    </row>
    <row r="5" spans="2:14" x14ac:dyDescent="0.25">
      <c r="B5" s="165"/>
      <c r="C5" s="165"/>
      <c r="D5" s="165"/>
      <c r="E5" s="166"/>
      <c r="F5" s="155">
        <v>2017</v>
      </c>
      <c r="G5" s="155">
        <v>2018</v>
      </c>
      <c r="H5" s="155">
        <v>2019</v>
      </c>
      <c r="I5" s="155">
        <v>2020</v>
      </c>
      <c r="J5" s="155">
        <v>2021</v>
      </c>
      <c r="K5" s="155">
        <v>2022</v>
      </c>
      <c r="L5" s="155">
        <v>2023</v>
      </c>
      <c r="M5" s="155">
        <v>2024</v>
      </c>
      <c r="N5" s="155">
        <v>2025</v>
      </c>
    </row>
    <row r="6" spans="2:14" ht="28.5" customHeight="1" x14ac:dyDescent="0.25">
      <c r="B6" s="165" t="s">
        <v>261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2:14" x14ac:dyDescent="0.25">
      <c r="B7" s="165" t="s">
        <v>262</v>
      </c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</row>
    <row r="8" spans="2:14" ht="45" x14ac:dyDescent="0.25">
      <c r="B8" s="172" t="s">
        <v>263</v>
      </c>
      <c r="C8" s="156" t="s">
        <v>264</v>
      </c>
      <c r="D8" s="154" t="s">
        <v>259</v>
      </c>
      <c r="E8" s="154">
        <v>100</v>
      </c>
      <c r="F8" s="154">
        <v>100</v>
      </c>
      <c r="G8" s="154">
        <v>100</v>
      </c>
      <c r="H8" s="154">
        <v>100</v>
      </c>
      <c r="I8" s="154">
        <v>100</v>
      </c>
      <c r="J8" s="154">
        <v>100</v>
      </c>
      <c r="K8" s="154">
        <v>100</v>
      </c>
      <c r="L8" s="154">
        <v>100</v>
      </c>
      <c r="M8" s="154">
        <v>100</v>
      </c>
      <c r="N8" s="154">
        <v>100</v>
      </c>
    </row>
    <row r="9" spans="2:14" ht="60" x14ac:dyDescent="0.25">
      <c r="B9" s="172"/>
      <c r="C9" s="156" t="s">
        <v>265</v>
      </c>
      <c r="D9" s="154" t="s">
        <v>259</v>
      </c>
      <c r="E9" s="154">
        <v>100</v>
      </c>
      <c r="F9" s="154">
        <v>100</v>
      </c>
      <c r="G9" s="154">
        <v>100</v>
      </c>
      <c r="H9" s="154">
        <v>100</v>
      </c>
      <c r="I9" s="154">
        <v>100</v>
      </c>
      <c r="J9" s="154">
        <v>100</v>
      </c>
      <c r="K9" s="154">
        <v>100</v>
      </c>
      <c r="L9" s="154">
        <v>100</v>
      </c>
      <c r="M9" s="154">
        <v>100</v>
      </c>
      <c r="N9" s="154">
        <v>100</v>
      </c>
    </row>
    <row r="10" spans="2:14" ht="60" x14ac:dyDescent="0.25">
      <c r="B10" s="172"/>
      <c r="C10" s="156" t="s">
        <v>266</v>
      </c>
      <c r="D10" s="154" t="s">
        <v>259</v>
      </c>
      <c r="E10" s="154">
        <v>100</v>
      </c>
      <c r="F10" s="154">
        <v>100</v>
      </c>
      <c r="G10" s="154">
        <v>0</v>
      </c>
      <c r="H10" s="154">
        <v>0</v>
      </c>
      <c r="I10" s="154">
        <v>0</v>
      </c>
      <c r="J10" s="154">
        <v>0</v>
      </c>
      <c r="K10" s="154">
        <v>0</v>
      </c>
      <c r="L10" s="154">
        <v>0</v>
      </c>
      <c r="M10" s="154">
        <v>0</v>
      </c>
      <c r="N10" s="154">
        <v>0</v>
      </c>
    </row>
    <row r="11" spans="2:14" x14ac:dyDescent="0.25">
      <c r="B11" s="164" t="s">
        <v>267</v>
      </c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</row>
    <row r="12" spans="2:14" ht="105.75" customHeight="1" x14ac:dyDescent="0.25">
      <c r="B12" s="163" t="s">
        <v>356</v>
      </c>
      <c r="C12" s="156" t="s">
        <v>268</v>
      </c>
      <c r="D12" s="154" t="s">
        <v>259</v>
      </c>
      <c r="E12" s="154">
        <v>100</v>
      </c>
      <c r="F12" s="154">
        <v>100</v>
      </c>
      <c r="G12" s="154">
        <v>100</v>
      </c>
      <c r="H12" s="154">
        <v>100</v>
      </c>
      <c r="I12" s="154">
        <v>100</v>
      </c>
      <c r="J12" s="154">
        <v>100</v>
      </c>
      <c r="K12" s="154">
        <v>100</v>
      </c>
      <c r="L12" s="154">
        <v>95.5</v>
      </c>
      <c r="M12" s="154">
        <v>95.5</v>
      </c>
      <c r="N12" s="154">
        <v>95.5</v>
      </c>
    </row>
    <row r="13" spans="2:14" ht="150" x14ac:dyDescent="0.25">
      <c r="B13" s="163"/>
      <c r="C13" s="62" t="s">
        <v>355</v>
      </c>
      <c r="D13" s="154" t="s">
        <v>259</v>
      </c>
      <c r="E13" s="154">
        <v>0</v>
      </c>
      <c r="F13" s="154">
        <v>0</v>
      </c>
      <c r="G13" s="154">
        <v>0</v>
      </c>
      <c r="H13" s="154">
        <v>100</v>
      </c>
      <c r="I13" s="154">
        <v>100</v>
      </c>
      <c r="J13" s="154">
        <v>0</v>
      </c>
      <c r="K13" s="154">
        <v>0</v>
      </c>
      <c r="L13" s="154">
        <v>0</v>
      </c>
      <c r="M13" s="154">
        <v>0</v>
      </c>
      <c r="N13" s="154">
        <v>0</v>
      </c>
    </row>
    <row r="14" spans="2:14" x14ac:dyDescent="0.25">
      <c r="B14" s="164" t="s">
        <v>269</v>
      </c>
      <c r="C14" s="164"/>
      <c r="D14" s="164"/>
      <c r="E14" s="164"/>
      <c r="F14" s="164"/>
      <c r="G14" s="164"/>
      <c r="H14" s="164"/>
      <c r="I14" s="164"/>
      <c r="J14" s="164"/>
      <c r="K14" s="164"/>
      <c r="L14" s="63"/>
      <c r="M14" s="63"/>
      <c r="N14" s="63"/>
    </row>
    <row r="15" spans="2:14" ht="105" x14ac:dyDescent="0.25">
      <c r="B15" s="163" t="s">
        <v>485</v>
      </c>
      <c r="C15" s="156" t="s">
        <v>270</v>
      </c>
      <c r="D15" s="154" t="s">
        <v>259</v>
      </c>
      <c r="E15" s="154">
        <v>0</v>
      </c>
      <c r="F15" s="154">
        <v>36</v>
      </c>
      <c r="G15" s="64">
        <v>44</v>
      </c>
      <c r="H15" s="154">
        <v>51</v>
      </c>
      <c r="I15" s="154">
        <v>25</v>
      </c>
      <c r="J15" s="154">
        <v>29.5</v>
      </c>
      <c r="K15" s="154">
        <v>39.5</v>
      </c>
      <c r="L15" s="154">
        <v>38.6</v>
      </c>
      <c r="M15" s="154">
        <v>40.9</v>
      </c>
      <c r="N15" s="154">
        <v>31.8</v>
      </c>
    </row>
    <row r="16" spans="2:14" ht="180" customHeight="1" x14ac:dyDescent="0.25">
      <c r="B16" s="163"/>
      <c r="C16" s="156" t="s">
        <v>271</v>
      </c>
      <c r="D16" s="154" t="s">
        <v>259</v>
      </c>
      <c r="E16" s="154">
        <v>0</v>
      </c>
      <c r="F16" s="154">
        <v>5.6</v>
      </c>
      <c r="G16" s="154">
        <v>31.3</v>
      </c>
      <c r="H16" s="154">
        <v>11</v>
      </c>
      <c r="I16" s="154">
        <v>5</v>
      </c>
      <c r="J16" s="154">
        <v>20</v>
      </c>
      <c r="K16" s="154">
        <v>29.6</v>
      </c>
      <c r="L16" s="154">
        <v>17.899999999999999</v>
      </c>
      <c r="M16" s="154">
        <v>28.6</v>
      </c>
      <c r="N16" s="154">
        <v>25</v>
      </c>
    </row>
    <row r="17" spans="2:14" ht="110.25" customHeight="1" x14ac:dyDescent="0.25">
      <c r="B17" s="156" t="s">
        <v>272</v>
      </c>
      <c r="C17" s="156" t="s">
        <v>273</v>
      </c>
      <c r="D17" s="154" t="s">
        <v>259</v>
      </c>
      <c r="E17" s="154">
        <v>100</v>
      </c>
      <c r="F17" s="154">
        <v>100</v>
      </c>
      <c r="G17" s="154">
        <v>100</v>
      </c>
      <c r="H17" s="154">
        <v>100</v>
      </c>
      <c r="I17" s="154">
        <v>100</v>
      </c>
      <c r="J17" s="154">
        <v>100</v>
      </c>
      <c r="K17" s="154">
        <v>100</v>
      </c>
      <c r="L17" s="154">
        <v>100</v>
      </c>
      <c r="M17" s="154">
        <v>100</v>
      </c>
      <c r="N17" s="154">
        <v>100</v>
      </c>
    </row>
    <row r="18" spans="2:14" ht="110.25" customHeight="1" x14ac:dyDescent="0.25">
      <c r="B18" s="156" t="s">
        <v>274</v>
      </c>
      <c r="C18" s="156" t="s">
        <v>275</v>
      </c>
      <c r="D18" s="154" t="s">
        <v>276</v>
      </c>
      <c r="E18" s="154">
        <v>11</v>
      </c>
      <c r="F18" s="154">
        <v>11</v>
      </c>
      <c r="G18" s="154">
        <v>11</v>
      </c>
      <c r="H18" s="154">
        <v>11</v>
      </c>
      <c r="I18" s="154">
        <v>10</v>
      </c>
      <c r="J18" s="154">
        <v>0</v>
      </c>
      <c r="K18" s="154">
        <v>0</v>
      </c>
      <c r="L18" s="154">
        <v>0</v>
      </c>
      <c r="M18" s="154">
        <v>0</v>
      </c>
      <c r="N18" s="154">
        <v>0</v>
      </c>
    </row>
    <row r="19" spans="2:14" ht="120" x14ac:dyDescent="0.25">
      <c r="B19" s="156" t="s">
        <v>277</v>
      </c>
      <c r="C19" s="156" t="s">
        <v>278</v>
      </c>
      <c r="D19" s="154" t="s">
        <v>259</v>
      </c>
      <c r="E19" s="154">
        <v>0</v>
      </c>
      <c r="F19" s="154">
        <v>100</v>
      </c>
      <c r="G19" s="154">
        <v>100</v>
      </c>
      <c r="H19" s="154">
        <v>100</v>
      </c>
      <c r="I19" s="154">
        <v>100</v>
      </c>
      <c r="J19" s="154">
        <v>100</v>
      </c>
      <c r="K19" s="154">
        <v>100</v>
      </c>
      <c r="L19" s="154">
        <v>100</v>
      </c>
      <c r="M19" s="154">
        <v>100</v>
      </c>
      <c r="N19" s="154">
        <v>100</v>
      </c>
    </row>
    <row r="20" spans="2:14" ht="15.75" customHeight="1" x14ac:dyDescent="0.25">
      <c r="B20" s="164" t="s">
        <v>279</v>
      </c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</row>
    <row r="21" spans="2:14" x14ac:dyDescent="0.25">
      <c r="B21" s="164" t="s">
        <v>262</v>
      </c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</row>
    <row r="22" spans="2:14" ht="45" x14ac:dyDescent="0.25">
      <c r="B22" s="167" t="s">
        <v>280</v>
      </c>
      <c r="C22" s="156" t="s">
        <v>281</v>
      </c>
      <c r="D22" s="154" t="s">
        <v>282</v>
      </c>
      <c r="E22" s="154">
        <v>0</v>
      </c>
      <c r="F22" s="154">
        <v>3</v>
      </c>
      <c r="G22" s="154">
        <v>0</v>
      </c>
      <c r="H22" s="154">
        <v>0</v>
      </c>
      <c r="I22" s="154">
        <v>0</v>
      </c>
      <c r="J22" s="154">
        <v>20</v>
      </c>
      <c r="K22" s="154">
        <v>0</v>
      </c>
      <c r="L22" s="154">
        <v>0</v>
      </c>
      <c r="M22" s="154">
        <v>0</v>
      </c>
      <c r="N22" s="154">
        <v>0</v>
      </c>
    </row>
    <row r="23" spans="2:14" ht="30" x14ac:dyDescent="0.25">
      <c r="B23" s="168"/>
      <c r="C23" s="156" t="s">
        <v>283</v>
      </c>
      <c r="D23" s="154" t="s">
        <v>282</v>
      </c>
      <c r="E23" s="154">
        <v>0</v>
      </c>
      <c r="F23" s="154">
        <v>4</v>
      </c>
      <c r="G23" s="65">
        <v>4</v>
      </c>
      <c r="H23" s="154">
        <v>3</v>
      </c>
      <c r="I23" s="154">
        <v>3</v>
      </c>
      <c r="J23" s="154">
        <v>3</v>
      </c>
      <c r="K23" s="154">
        <v>0</v>
      </c>
      <c r="L23" s="154">
        <v>0</v>
      </c>
      <c r="M23" s="154">
        <v>0</v>
      </c>
      <c r="N23" s="154">
        <v>0</v>
      </c>
    </row>
    <row r="24" spans="2:14" ht="90" x14ac:dyDescent="0.25">
      <c r="B24" s="168"/>
      <c r="C24" s="156" t="s">
        <v>284</v>
      </c>
      <c r="D24" s="154" t="s">
        <v>282</v>
      </c>
      <c r="E24" s="154">
        <v>0</v>
      </c>
      <c r="F24" s="154">
        <v>1</v>
      </c>
      <c r="G24" s="154">
        <v>4</v>
      </c>
      <c r="H24" s="154">
        <v>25</v>
      </c>
      <c r="I24" s="154">
        <v>45</v>
      </c>
      <c r="J24" s="154">
        <v>0</v>
      </c>
      <c r="K24" s="154">
        <v>0</v>
      </c>
      <c r="L24" s="154">
        <v>0</v>
      </c>
      <c r="M24" s="154">
        <v>0</v>
      </c>
      <c r="N24" s="154">
        <v>0</v>
      </c>
    </row>
    <row r="25" spans="2:14" ht="60" x14ac:dyDescent="0.25">
      <c r="B25" s="168"/>
      <c r="C25" s="156" t="s">
        <v>285</v>
      </c>
      <c r="D25" s="154" t="s">
        <v>282</v>
      </c>
      <c r="E25" s="154">
        <v>10</v>
      </c>
      <c r="F25" s="154">
        <v>10</v>
      </c>
      <c r="G25" s="154">
        <v>10</v>
      </c>
      <c r="H25" s="154">
        <v>10</v>
      </c>
      <c r="I25" s="154">
        <v>10</v>
      </c>
      <c r="J25" s="154">
        <v>10</v>
      </c>
      <c r="K25" s="154">
        <v>0</v>
      </c>
      <c r="L25" s="154">
        <v>0</v>
      </c>
      <c r="M25" s="154">
        <v>0</v>
      </c>
      <c r="N25" s="154">
        <v>0</v>
      </c>
    </row>
    <row r="26" spans="2:14" ht="105" x14ac:dyDescent="0.25">
      <c r="B26" s="168"/>
      <c r="C26" s="156" t="s">
        <v>286</v>
      </c>
      <c r="D26" s="154" t="s">
        <v>287</v>
      </c>
      <c r="E26" s="154">
        <v>0</v>
      </c>
      <c r="F26" s="154">
        <v>6</v>
      </c>
      <c r="G26" s="154">
        <v>7</v>
      </c>
      <c r="H26" s="154">
        <v>1</v>
      </c>
      <c r="I26" s="154">
        <v>0</v>
      </c>
      <c r="J26" s="154">
        <v>1</v>
      </c>
      <c r="K26" s="154">
        <v>0</v>
      </c>
      <c r="L26" s="154">
        <v>0</v>
      </c>
      <c r="M26" s="154">
        <v>0</v>
      </c>
      <c r="N26" s="154">
        <v>0</v>
      </c>
    </row>
    <row r="27" spans="2:14" ht="75" x14ac:dyDescent="0.25">
      <c r="B27" s="168"/>
      <c r="C27" s="157" t="s">
        <v>396</v>
      </c>
      <c r="D27" s="154" t="s">
        <v>288</v>
      </c>
      <c r="E27" s="154">
        <v>0</v>
      </c>
      <c r="F27" s="154">
        <v>0</v>
      </c>
      <c r="G27" s="65">
        <v>1</v>
      </c>
      <c r="H27" s="154">
        <v>3</v>
      </c>
      <c r="I27" s="154">
        <v>2</v>
      </c>
      <c r="J27" s="154">
        <v>8</v>
      </c>
      <c r="K27" s="154">
        <v>0</v>
      </c>
      <c r="L27" s="154">
        <v>0</v>
      </c>
      <c r="M27" s="154">
        <v>0</v>
      </c>
      <c r="N27" s="154">
        <v>0</v>
      </c>
    </row>
    <row r="28" spans="2:14" ht="48" customHeight="1" x14ac:dyDescent="0.25">
      <c r="B28" s="168"/>
      <c r="C28" s="156" t="s">
        <v>349</v>
      </c>
      <c r="D28" s="154" t="s">
        <v>288</v>
      </c>
      <c r="E28" s="154">
        <v>0</v>
      </c>
      <c r="F28" s="154">
        <v>0</v>
      </c>
      <c r="G28" s="65">
        <v>1</v>
      </c>
      <c r="H28" s="154">
        <v>0</v>
      </c>
      <c r="I28" s="154">
        <v>3</v>
      </c>
      <c r="J28" s="154">
        <v>0</v>
      </c>
      <c r="K28" s="154">
        <v>0</v>
      </c>
      <c r="L28" s="154">
        <v>0</v>
      </c>
      <c r="M28" s="154">
        <v>0</v>
      </c>
      <c r="N28" s="154">
        <v>0</v>
      </c>
    </row>
    <row r="29" spans="2:14" ht="48" customHeight="1" x14ac:dyDescent="0.25">
      <c r="B29" s="168"/>
      <c r="C29" s="157" t="s">
        <v>374</v>
      </c>
      <c r="D29" s="154" t="s">
        <v>375</v>
      </c>
      <c r="E29" s="154">
        <v>0</v>
      </c>
      <c r="F29" s="154">
        <v>0</v>
      </c>
      <c r="G29" s="65">
        <v>0</v>
      </c>
      <c r="H29" s="154">
        <v>0</v>
      </c>
      <c r="I29" s="154">
        <v>0</v>
      </c>
      <c r="J29" s="154">
        <v>2</v>
      </c>
      <c r="K29" s="154">
        <v>0</v>
      </c>
      <c r="L29" s="154">
        <v>0</v>
      </c>
      <c r="M29" s="154">
        <v>0</v>
      </c>
      <c r="N29" s="154">
        <v>0</v>
      </c>
    </row>
    <row r="30" spans="2:14" ht="48" customHeight="1" x14ac:dyDescent="0.25">
      <c r="B30" s="168"/>
      <c r="C30" s="157" t="s">
        <v>438</v>
      </c>
      <c r="D30" s="154" t="s">
        <v>422</v>
      </c>
      <c r="E30" s="154">
        <v>0</v>
      </c>
      <c r="F30" s="154">
        <v>0</v>
      </c>
      <c r="G30" s="65">
        <v>0</v>
      </c>
      <c r="H30" s="154">
        <v>0</v>
      </c>
      <c r="I30" s="154">
        <v>0</v>
      </c>
      <c r="J30" s="154">
        <v>1</v>
      </c>
      <c r="K30" s="154">
        <v>0</v>
      </c>
      <c r="L30" s="154">
        <v>0</v>
      </c>
      <c r="M30" s="154">
        <v>0</v>
      </c>
      <c r="N30" s="154">
        <v>0</v>
      </c>
    </row>
    <row r="31" spans="2:14" ht="91.5" customHeight="1" x14ac:dyDescent="0.25">
      <c r="B31" s="168"/>
      <c r="C31" s="157" t="s">
        <v>392</v>
      </c>
      <c r="D31" s="67" t="s">
        <v>259</v>
      </c>
      <c r="E31" s="154">
        <v>0</v>
      </c>
      <c r="F31" s="154">
        <v>0</v>
      </c>
      <c r="G31" s="154">
        <v>0</v>
      </c>
      <c r="H31" s="154">
        <v>0</v>
      </c>
      <c r="I31" s="154">
        <v>0</v>
      </c>
      <c r="J31" s="154">
        <v>100</v>
      </c>
      <c r="K31" s="154">
        <v>0</v>
      </c>
      <c r="L31" s="154">
        <v>0</v>
      </c>
      <c r="M31" s="154">
        <v>0</v>
      </c>
      <c r="N31" s="154">
        <v>0</v>
      </c>
    </row>
    <row r="32" spans="2:14" ht="44.25" customHeight="1" x14ac:dyDescent="0.25">
      <c r="B32" s="168"/>
      <c r="C32" s="157" t="s">
        <v>459</v>
      </c>
      <c r="D32" s="67" t="s">
        <v>282</v>
      </c>
      <c r="E32" s="154">
        <v>0</v>
      </c>
      <c r="F32" s="154">
        <v>0</v>
      </c>
      <c r="G32" s="154">
        <v>0</v>
      </c>
      <c r="H32" s="154">
        <v>0</v>
      </c>
      <c r="I32" s="154">
        <v>0</v>
      </c>
      <c r="J32" s="154">
        <v>30</v>
      </c>
      <c r="K32" s="154">
        <v>0</v>
      </c>
      <c r="L32" s="154">
        <v>0</v>
      </c>
      <c r="M32" s="154">
        <v>0</v>
      </c>
      <c r="N32" s="154">
        <v>0</v>
      </c>
    </row>
    <row r="33" spans="2:14" ht="44.25" customHeight="1" x14ac:dyDescent="0.25">
      <c r="B33" s="169"/>
      <c r="C33" s="157" t="s">
        <v>482</v>
      </c>
      <c r="D33" s="67" t="s">
        <v>282</v>
      </c>
      <c r="E33" s="154">
        <v>0</v>
      </c>
      <c r="F33" s="154">
        <v>0</v>
      </c>
      <c r="G33" s="154">
        <v>0</v>
      </c>
      <c r="H33" s="154">
        <v>0</v>
      </c>
      <c r="I33" s="154">
        <v>0</v>
      </c>
      <c r="J33" s="154">
        <v>2</v>
      </c>
      <c r="K33" s="154">
        <v>0</v>
      </c>
      <c r="L33" s="154">
        <v>0</v>
      </c>
      <c r="M33" s="154">
        <v>0</v>
      </c>
      <c r="N33" s="154">
        <v>0</v>
      </c>
    </row>
    <row r="34" spans="2:14" ht="60" x14ac:dyDescent="0.25">
      <c r="B34" s="167" t="s">
        <v>168</v>
      </c>
      <c r="C34" s="156" t="s">
        <v>289</v>
      </c>
      <c r="D34" s="154" t="s">
        <v>288</v>
      </c>
      <c r="E34" s="154">
        <v>0</v>
      </c>
      <c r="F34" s="154">
        <v>0</v>
      </c>
      <c r="G34" s="65">
        <v>0</v>
      </c>
      <c r="H34" s="154">
        <v>1</v>
      </c>
      <c r="I34" s="154">
        <v>0</v>
      </c>
      <c r="J34" s="154">
        <v>0</v>
      </c>
      <c r="K34" s="154">
        <v>0</v>
      </c>
      <c r="L34" s="154">
        <v>0</v>
      </c>
      <c r="M34" s="154">
        <v>0</v>
      </c>
      <c r="N34" s="154">
        <v>0</v>
      </c>
    </row>
    <row r="35" spans="2:14" ht="30" x14ac:dyDescent="0.25">
      <c r="B35" s="168"/>
      <c r="C35" s="76" t="s">
        <v>419</v>
      </c>
      <c r="D35" s="154" t="s">
        <v>244</v>
      </c>
      <c r="E35" s="154">
        <v>0</v>
      </c>
      <c r="F35" s="154">
        <v>0</v>
      </c>
      <c r="G35" s="65">
        <v>0</v>
      </c>
      <c r="H35" s="154">
        <v>0</v>
      </c>
      <c r="I35" s="154">
        <v>0</v>
      </c>
      <c r="J35" s="154">
        <v>3</v>
      </c>
      <c r="K35" s="154">
        <v>0</v>
      </c>
      <c r="L35" s="154">
        <v>0</v>
      </c>
      <c r="M35" s="154">
        <v>0</v>
      </c>
      <c r="N35" s="154">
        <v>0</v>
      </c>
    </row>
    <row r="36" spans="2:14" ht="30" x14ac:dyDescent="0.25">
      <c r="B36" s="168"/>
      <c r="C36" s="76" t="s">
        <v>420</v>
      </c>
      <c r="D36" s="154" t="s">
        <v>244</v>
      </c>
      <c r="E36" s="154">
        <v>0</v>
      </c>
      <c r="F36" s="154">
        <v>0</v>
      </c>
      <c r="G36" s="65">
        <v>0</v>
      </c>
      <c r="H36" s="154">
        <v>0</v>
      </c>
      <c r="I36" s="154">
        <v>0</v>
      </c>
      <c r="J36" s="154">
        <v>5</v>
      </c>
      <c r="K36" s="154">
        <v>0</v>
      </c>
      <c r="L36" s="154">
        <v>0</v>
      </c>
      <c r="M36" s="154">
        <v>0</v>
      </c>
      <c r="N36" s="154">
        <v>0</v>
      </c>
    </row>
    <row r="37" spans="2:14" ht="30" x14ac:dyDescent="0.25">
      <c r="B37" s="168"/>
      <c r="C37" s="76" t="s">
        <v>486</v>
      </c>
      <c r="D37" s="154" t="s">
        <v>244</v>
      </c>
      <c r="E37" s="154">
        <v>0</v>
      </c>
      <c r="F37" s="154">
        <v>0</v>
      </c>
      <c r="G37" s="65">
        <v>0</v>
      </c>
      <c r="H37" s="154">
        <v>0</v>
      </c>
      <c r="I37" s="154">
        <v>0</v>
      </c>
      <c r="J37" s="154">
        <v>1</v>
      </c>
      <c r="K37" s="154">
        <v>0</v>
      </c>
      <c r="L37" s="154">
        <v>0</v>
      </c>
      <c r="M37" s="154">
        <v>0</v>
      </c>
      <c r="N37" s="154">
        <v>0</v>
      </c>
    </row>
    <row r="38" spans="2:14" ht="30" x14ac:dyDescent="0.25">
      <c r="B38" s="168"/>
      <c r="C38" s="76" t="s">
        <v>421</v>
      </c>
      <c r="D38" s="154" t="s">
        <v>244</v>
      </c>
      <c r="E38" s="154">
        <v>0</v>
      </c>
      <c r="F38" s="154">
        <v>0</v>
      </c>
      <c r="G38" s="65">
        <v>0</v>
      </c>
      <c r="H38" s="154">
        <v>0</v>
      </c>
      <c r="I38" s="154">
        <v>0</v>
      </c>
      <c r="J38" s="154">
        <v>1</v>
      </c>
      <c r="K38" s="154">
        <v>0</v>
      </c>
      <c r="L38" s="154">
        <v>0</v>
      </c>
      <c r="M38" s="154">
        <v>0</v>
      </c>
      <c r="N38" s="154">
        <v>0</v>
      </c>
    </row>
    <row r="39" spans="2:14" ht="45" x14ac:dyDescent="0.25">
      <c r="B39" s="169"/>
      <c r="C39" s="76" t="s">
        <v>461</v>
      </c>
      <c r="D39" s="154" t="s">
        <v>462</v>
      </c>
      <c r="E39" s="154">
        <v>0</v>
      </c>
      <c r="F39" s="154">
        <v>0</v>
      </c>
      <c r="G39" s="65">
        <v>0</v>
      </c>
      <c r="H39" s="154">
        <v>0</v>
      </c>
      <c r="I39" s="154">
        <v>0</v>
      </c>
      <c r="J39" s="154">
        <v>1</v>
      </c>
      <c r="K39" s="154">
        <v>0</v>
      </c>
      <c r="L39" s="154">
        <v>0</v>
      </c>
      <c r="M39" s="154">
        <v>0</v>
      </c>
      <c r="N39" s="154">
        <v>0</v>
      </c>
    </row>
    <row r="40" spans="2:14" ht="42.75" customHeight="1" x14ac:dyDescent="0.25">
      <c r="B40" s="164" t="s">
        <v>290</v>
      </c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</row>
    <row r="41" spans="2:14" x14ac:dyDescent="0.25">
      <c r="B41" s="164" t="s">
        <v>262</v>
      </c>
      <c r="C41" s="164"/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</row>
    <row r="42" spans="2:14" ht="114" customHeight="1" x14ac:dyDescent="0.25">
      <c r="B42" s="156" t="s">
        <v>291</v>
      </c>
      <c r="C42" s="156" t="s">
        <v>292</v>
      </c>
      <c r="D42" s="154" t="s">
        <v>259</v>
      </c>
      <c r="E42" s="67">
        <v>100</v>
      </c>
      <c r="F42" s="154">
        <v>100</v>
      </c>
      <c r="G42" s="154">
        <v>100</v>
      </c>
      <c r="H42" s="154">
        <v>100</v>
      </c>
      <c r="I42" s="154">
        <v>100</v>
      </c>
      <c r="J42" s="154">
        <v>100</v>
      </c>
      <c r="K42" s="154">
        <v>100</v>
      </c>
      <c r="L42" s="154">
        <v>100</v>
      </c>
      <c r="M42" s="154">
        <v>100</v>
      </c>
      <c r="N42" s="154">
        <v>100</v>
      </c>
    </row>
    <row r="43" spans="2:14" ht="117" customHeight="1" x14ac:dyDescent="0.25">
      <c r="B43" s="172" t="s">
        <v>293</v>
      </c>
      <c r="C43" s="173" t="s">
        <v>336</v>
      </c>
      <c r="D43" s="163" t="s">
        <v>282</v>
      </c>
      <c r="E43" s="163">
        <v>15</v>
      </c>
      <c r="F43" s="163">
        <v>15</v>
      </c>
      <c r="G43" s="163">
        <v>4</v>
      </c>
      <c r="H43" s="163">
        <v>39</v>
      </c>
      <c r="I43" s="163">
        <v>28</v>
      </c>
      <c r="J43" s="163">
        <v>17</v>
      </c>
      <c r="K43" s="163">
        <v>16</v>
      </c>
      <c r="L43" s="163">
        <f>15-1</f>
        <v>14</v>
      </c>
      <c r="M43" s="163">
        <v>15</v>
      </c>
      <c r="N43" s="163">
        <v>15</v>
      </c>
    </row>
    <row r="44" spans="2:14" ht="15.75" hidden="1" customHeight="1" thickBot="1" x14ac:dyDescent="0.3">
      <c r="B44" s="172"/>
      <c r="C44" s="17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</row>
    <row r="45" spans="2:14" ht="28.5" customHeight="1" x14ac:dyDescent="0.25">
      <c r="B45" s="165" t="s">
        <v>294</v>
      </c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</row>
    <row r="46" spans="2:14" x14ac:dyDescent="0.25">
      <c r="B46" s="164" t="s">
        <v>262</v>
      </c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64"/>
      <c r="N46" s="164"/>
    </row>
    <row r="47" spans="2:14" ht="105" x14ac:dyDescent="0.25">
      <c r="B47" s="156" t="s">
        <v>295</v>
      </c>
      <c r="C47" s="156" t="s">
        <v>296</v>
      </c>
      <c r="D47" s="154" t="s">
        <v>282</v>
      </c>
      <c r="E47" s="154">
        <v>212</v>
      </c>
      <c r="F47" s="154">
        <v>180</v>
      </c>
      <c r="G47" s="154">
        <v>180</v>
      </c>
      <c r="H47" s="154">
        <v>180</v>
      </c>
      <c r="I47" s="154">
        <v>180</v>
      </c>
      <c r="J47" s="154">
        <v>180</v>
      </c>
      <c r="K47" s="154">
        <v>180</v>
      </c>
      <c r="L47" s="154">
        <v>180</v>
      </c>
      <c r="M47" s="154">
        <v>180</v>
      </c>
      <c r="N47" s="154">
        <v>180</v>
      </c>
    </row>
    <row r="48" spans="2:14" x14ac:dyDescent="0.25">
      <c r="B48" s="164" t="s">
        <v>267</v>
      </c>
      <c r="C48" s="164"/>
      <c r="D48" s="164"/>
      <c r="E48" s="164"/>
      <c r="F48" s="164"/>
      <c r="G48" s="164"/>
      <c r="H48" s="164"/>
      <c r="I48" s="164"/>
      <c r="J48" s="164"/>
      <c r="K48" s="164"/>
      <c r="L48" s="164"/>
      <c r="M48" s="164"/>
      <c r="N48" s="164"/>
    </row>
    <row r="49" spans="2:14" ht="90.75" customHeight="1" x14ac:dyDescent="0.25">
      <c r="B49" s="163" t="s">
        <v>297</v>
      </c>
      <c r="C49" s="156" t="s">
        <v>298</v>
      </c>
      <c r="D49" s="154" t="s">
        <v>282</v>
      </c>
      <c r="E49" s="154">
        <v>43</v>
      </c>
      <c r="F49" s="154">
        <v>45</v>
      </c>
      <c r="G49" s="154">
        <v>60</v>
      </c>
      <c r="H49" s="154">
        <v>86</v>
      </c>
      <c r="I49" s="154">
        <v>86</v>
      </c>
      <c r="J49" s="154">
        <v>41</v>
      </c>
      <c r="K49" s="154">
        <v>41</v>
      </c>
      <c r="L49" s="154">
        <v>93</v>
      </c>
      <c r="M49" s="154">
        <v>93</v>
      </c>
      <c r="N49" s="154">
        <v>93</v>
      </c>
    </row>
    <row r="50" spans="2:14" ht="60" x14ac:dyDescent="0.25">
      <c r="B50" s="163"/>
      <c r="C50" s="156" t="s">
        <v>299</v>
      </c>
      <c r="D50" s="154" t="s">
        <v>282</v>
      </c>
      <c r="E50" s="154">
        <v>26</v>
      </c>
      <c r="F50" s="154">
        <v>26</v>
      </c>
      <c r="G50" s="154">
        <v>26</v>
      </c>
      <c r="H50" s="154">
        <v>26</v>
      </c>
      <c r="I50" s="154">
        <v>26</v>
      </c>
      <c r="J50" s="154">
        <v>25</v>
      </c>
      <c r="K50" s="154">
        <v>25</v>
      </c>
      <c r="L50" s="154">
        <v>25</v>
      </c>
      <c r="M50" s="154">
        <v>25</v>
      </c>
      <c r="N50" s="154">
        <v>25</v>
      </c>
    </row>
    <row r="51" spans="2:14" ht="60" x14ac:dyDescent="0.25">
      <c r="B51" s="163"/>
      <c r="C51" s="62" t="s">
        <v>488</v>
      </c>
      <c r="D51" s="154" t="s">
        <v>489</v>
      </c>
      <c r="E51" s="154">
        <v>1410</v>
      </c>
      <c r="F51" s="154">
        <v>1500</v>
      </c>
      <c r="G51" s="154">
        <v>1500</v>
      </c>
      <c r="H51" s="154">
        <v>1500</v>
      </c>
      <c r="I51" s="154">
        <v>1500</v>
      </c>
      <c r="J51" s="154">
        <v>1500</v>
      </c>
      <c r="K51" s="154">
        <v>1500</v>
      </c>
      <c r="L51" s="154">
        <v>1500</v>
      </c>
      <c r="M51" s="154">
        <v>1500</v>
      </c>
      <c r="N51" s="154">
        <v>1500</v>
      </c>
    </row>
    <row r="52" spans="2:14" ht="60" x14ac:dyDescent="0.25">
      <c r="B52" s="163"/>
      <c r="C52" s="62" t="s">
        <v>487</v>
      </c>
      <c r="D52" s="154" t="s">
        <v>300</v>
      </c>
      <c r="E52" s="154">
        <v>120</v>
      </c>
      <c r="F52" s="154">
        <v>100</v>
      </c>
      <c r="G52" s="154">
        <v>100</v>
      </c>
      <c r="H52" s="154">
        <v>100</v>
      </c>
      <c r="I52" s="154">
        <v>100</v>
      </c>
      <c r="J52" s="154">
        <v>100</v>
      </c>
      <c r="K52" s="154">
        <v>100</v>
      </c>
      <c r="L52" s="154">
        <v>100</v>
      </c>
      <c r="M52" s="154">
        <v>100</v>
      </c>
      <c r="N52" s="154">
        <v>100</v>
      </c>
    </row>
    <row r="53" spans="2:14" ht="60" x14ac:dyDescent="0.25">
      <c r="B53" s="163"/>
      <c r="C53" s="68" t="s">
        <v>301</v>
      </c>
      <c r="D53" s="154" t="s">
        <v>302</v>
      </c>
      <c r="E53" s="154" t="s">
        <v>235</v>
      </c>
      <c r="F53" s="154" t="s">
        <v>235</v>
      </c>
      <c r="G53" s="154" t="s">
        <v>235</v>
      </c>
      <c r="H53" s="154" t="s">
        <v>235</v>
      </c>
      <c r="I53" s="154" t="s">
        <v>235</v>
      </c>
      <c r="J53" s="154" t="s">
        <v>235</v>
      </c>
      <c r="K53" s="154" t="s">
        <v>235</v>
      </c>
      <c r="L53" s="154" t="s">
        <v>235</v>
      </c>
      <c r="M53" s="154" t="s">
        <v>235</v>
      </c>
      <c r="N53" s="154" t="s">
        <v>235</v>
      </c>
    </row>
    <row r="54" spans="2:14" ht="28.5" customHeight="1" x14ac:dyDescent="0.25">
      <c r="B54" s="164" t="s">
        <v>303</v>
      </c>
      <c r="C54" s="164"/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</row>
    <row r="55" spans="2:14" x14ac:dyDescent="0.25">
      <c r="B55" s="164" t="s">
        <v>262</v>
      </c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</row>
    <row r="56" spans="2:14" ht="30.75" customHeight="1" x14ac:dyDescent="0.25">
      <c r="B56" s="163" t="s">
        <v>304</v>
      </c>
      <c r="C56" s="68" t="s">
        <v>305</v>
      </c>
      <c r="D56" s="154" t="s">
        <v>282</v>
      </c>
      <c r="E56" s="154">
        <v>20</v>
      </c>
      <c r="F56" s="154">
        <v>15</v>
      </c>
      <c r="G56" s="154">
        <v>15</v>
      </c>
      <c r="H56" s="154">
        <v>15</v>
      </c>
      <c r="I56" s="154">
        <v>14</v>
      </c>
      <c r="J56" s="154">
        <v>15</v>
      </c>
      <c r="K56" s="154">
        <v>15</v>
      </c>
      <c r="L56" s="154">
        <v>10</v>
      </c>
      <c r="M56" s="154">
        <v>10</v>
      </c>
      <c r="N56" s="154">
        <v>10</v>
      </c>
    </row>
    <row r="57" spans="2:14" ht="30" x14ac:dyDescent="0.25">
      <c r="B57" s="163"/>
      <c r="C57" s="68" t="s">
        <v>306</v>
      </c>
      <c r="D57" s="154" t="s">
        <v>307</v>
      </c>
      <c r="E57" s="154">
        <v>0</v>
      </c>
      <c r="F57" s="154">
        <v>20</v>
      </c>
      <c r="G57" s="154">
        <v>20</v>
      </c>
      <c r="H57" s="154">
        <v>21</v>
      </c>
      <c r="I57" s="154">
        <v>20</v>
      </c>
      <c r="J57" s="154">
        <v>20</v>
      </c>
      <c r="K57" s="154">
        <v>20</v>
      </c>
      <c r="L57" s="154">
        <v>20</v>
      </c>
      <c r="M57" s="154">
        <v>20</v>
      </c>
      <c r="N57" s="154">
        <v>20</v>
      </c>
    </row>
    <row r="58" spans="2:14" ht="30" x14ac:dyDescent="0.25">
      <c r="B58" s="163"/>
      <c r="C58" s="68" t="s">
        <v>308</v>
      </c>
      <c r="D58" s="154" t="s">
        <v>300</v>
      </c>
      <c r="E58" s="154">
        <v>0</v>
      </c>
      <c r="F58" s="154">
        <v>15</v>
      </c>
      <c r="G58" s="154">
        <v>0</v>
      </c>
      <c r="H58" s="154">
        <v>0</v>
      </c>
      <c r="I58" s="154">
        <v>0</v>
      </c>
      <c r="J58" s="154">
        <v>0</v>
      </c>
      <c r="K58" s="154">
        <v>0</v>
      </c>
      <c r="L58" s="154">
        <v>0</v>
      </c>
      <c r="M58" s="154">
        <v>0</v>
      </c>
      <c r="N58" s="154">
        <v>0</v>
      </c>
    </row>
    <row r="59" spans="2:14" ht="59.25" customHeight="1" x14ac:dyDescent="0.25">
      <c r="B59" s="163"/>
      <c r="C59" s="68" t="s">
        <v>309</v>
      </c>
      <c r="D59" s="154" t="s">
        <v>300</v>
      </c>
      <c r="E59" s="154">
        <v>0</v>
      </c>
      <c r="F59" s="154">
        <v>2</v>
      </c>
      <c r="G59" s="154">
        <v>0</v>
      </c>
      <c r="H59" s="154">
        <v>2</v>
      </c>
      <c r="I59" s="154">
        <v>0</v>
      </c>
      <c r="J59" s="154">
        <v>0</v>
      </c>
      <c r="K59" s="154">
        <v>0</v>
      </c>
      <c r="L59" s="154">
        <v>0</v>
      </c>
      <c r="M59" s="154">
        <v>0</v>
      </c>
      <c r="N59" s="154">
        <v>0</v>
      </c>
    </row>
    <row r="60" spans="2:14" ht="59.25" customHeight="1" x14ac:dyDescent="0.25">
      <c r="B60" s="163"/>
      <c r="C60" s="68" t="s">
        <v>423</v>
      </c>
      <c r="D60" s="154" t="s">
        <v>300</v>
      </c>
      <c r="E60" s="154">
        <v>0</v>
      </c>
      <c r="F60" s="154">
        <v>0</v>
      </c>
      <c r="G60" s="154">
        <v>0</v>
      </c>
      <c r="H60" s="154">
        <v>0</v>
      </c>
      <c r="I60" s="154">
        <v>0</v>
      </c>
      <c r="J60" s="154">
        <v>500</v>
      </c>
      <c r="K60" s="154">
        <v>0</v>
      </c>
      <c r="L60" s="154">
        <v>0</v>
      </c>
      <c r="M60" s="154">
        <v>0</v>
      </c>
      <c r="N60" s="154">
        <v>0</v>
      </c>
    </row>
    <row r="61" spans="2:14" ht="36" customHeight="1" x14ac:dyDescent="0.25">
      <c r="B61" s="163"/>
      <c r="C61" s="62" t="s">
        <v>397</v>
      </c>
      <c r="D61" s="154" t="s">
        <v>300</v>
      </c>
      <c r="E61" s="154">
        <v>0</v>
      </c>
      <c r="F61" s="154">
        <v>0</v>
      </c>
      <c r="G61" s="154">
        <v>0</v>
      </c>
      <c r="H61" s="154">
        <v>0</v>
      </c>
      <c r="I61" s="154">
        <v>0</v>
      </c>
      <c r="J61" s="154">
        <v>1</v>
      </c>
      <c r="K61" s="154">
        <v>0</v>
      </c>
      <c r="L61" s="154">
        <v>0</v>
      </c>
      <c r="M61" s="154">
        <v>0</v>
      </c>
      <c r="N61" s="154">
        <v>0</v>
      </c>
    </row>
    <row r="62" spans="2:14" ht="28.5" customHeight="1" x14ac:dyDescent="0.25">
      <c r="B62" s="164" t="s">
        <v>310</v>
      </c>
      <c r="C62" s="164"/>
      <c r="D62" s="164"/>
      <c r="E62" s="164"/>
      <c r="F62" s="164"/>
      <c r="G62" s="164"/>
      <c r="H62" s="164"/>
      <c r="I62" s="164"/>
      <c r="J62" s="164"/>
      <c r="K62" s="164"/>
      <c r="L62" s="164"/>
      <c r="M62" s="164"/>
      <c r="N62" s="164"/>
    </row>
    <row r="63" spans="2:14" x14ac:dyDescent="0.25">
      <c r="B63" s="164" t="s">
        <v>262</v>
      </c>
      <c r="C63" s="164"/>
      <c r="D63" s="164"/>
      <c r="E63" s="164"/>
      <c r="F63" s="164"/>
      <c r="G63" s="164"/>
      <c r="H63" s="164"/>
      <c r="I63" s="164"/>
      <c r="J63" s="164"/>
      <c r="K63" s="164"/>
      <c r="L63" s="164"/>
      <c r="M63" s="164"/>
      <c r="N63" s="164"/>
    </row>
    <row r="64" spans="2:14" ht="75" x14ac:dyDescent="0.25">
      <c r="B64" s="163" t="s">
        <v>311</v>
      </c>
      <c r="C64" s="68" t="s">
        <v>312</v>
      </c>
      <c r="D64" s="154" t="s">
        <v>313</v>
      </c>
      <c r="E64" s="154">
        <v>346</v>
      </c>
      <c r="F64" s="154">
        <v>306.3</v>
      </c>
      <c r="G64" s="69">
        <v>299.7</v>
      </c>
      <c r="H64" s="69">
        <v>265.5</v>
      </c>
      <c r="I64" s="69">
        <v>283.7</v>
      </c>
      <c r="J64" s="69">
        <v>289</v>
      </c>
      <c r="K64" s="69">
        <f>293.1-1.1-1.5-2.5-1.6+1.6-0.06-4.2-0.77</f>
        <v>282.97000000000003</v>
      </c>
      <c r="L64" s="69">
        <f>320.2-1.13-0.02-13.2-2.2-13.7</f>
        <v>289.95000000000005</v>
      </c>
      <c r="M64" s="69">
        <v>320.2</v>
      </c>
      <c r="N64" s="69">
        <v>320.2</v>
      </c>
    </row>
    <row r="65" spans="2:14" ht="60" x14ac:dyDescent="0.25">
      <c r="B65" s="163"/>
      <c r="C65" s="68" t="s">
        <v>314</v>
      </c>
      <c r="D65" s="154" t="s">
        <v>315</v>
      </c>
      <c r="E65" s="154">
        <v>945</v>
      </c>
      <c r="F65" s="154">
        <v>946</v>
      </c>
      <c r="G65" s="70">
        <v>1440.8</v>
      </c>
      <c r="H65" s="70">
        <v>1435.1</v>
      </c>
      <c r="I65" s="70">
        <v>1766.19</v>
      </c>
      <c r="J65" s="71">
        <v>3217.8</v>
      </c>
      <c r="K65" s="71">
        <f>2289.4+23.4+1502.1+3.57-1.23-13.85-22.34</f>
        <v>3781.05</v>
      </c>
      <c r="L65" s="71">
        <f>2762.7+18.8+1149-5.2</f>
        <v>3925.3</v>
      </c>
      <c r="M65" s="71">
        <v>2762.7</v>
      </c>
      <c r="N65" s="71">
        <v>2762.7</v>
      </c>
    </row>
    <row r="66" spans="2:14" ht="75" x14ac:dyDescent="0.25">
      <c r="B66" s="163"/>
      <c r="C66" s="68" t="s">
        <v>316</v>
      </c>
      <c r="D66" s="154"/>
      <c r="E66" s="154"/>
      <c r="F66" s="154"/>
      <c r="G66" s="154"/>
      <c r="H66" s="154"/>
      <c r="I66" s="154"/>
      <c r="J66" s="154"/>
      <c r="K66" s="154"/>
      <c r="L66" s="154"/>
      <c r="M66" s="154"/>
      <c r="N66" s="154"/>
    </row>
    <row r="67" spans="2:14" x14ac:dyDescent="0.25">
      <c r="B67" s="163"/>
      <c r="C67" s="72" t="s">
        <v>317</v>
      </c>
      <c r="D67" s="154" t="s">
        <v>318</v>
      </c>
      <c r="E67" s="154">
        <v>451</v>
      </c>
      <c r="F67" s="154">
        <v>380</v>
      </c>
      <c r="G67" s="154">
        <v>380</v>
      </c>
      <c r="H67" s="154">
        <v>304</v>
      </c>
      <c r="I67" s="154">
        <v>304</v>
      </c>
      <c r="J67" s="154">
        <v>303</v>
      </c>
      <c r="K67" s="154">
        <f>229-4</f>
        <v>225</v>
      </c>
      <c r="L67" s="154">
        <f>229-9.94</f>
        <v>219.06</v>
      </c>
      <c r="M67" s="154">
        <v>229</v>
      </c>
      <c r="N67" s="154">
        <v>229</v>
      </c>
    </row>
    <row r="68" spans="2:14" x14ac:dyDescent="0.25">
      <c r="B68" s="163"/>
      <c r="C68" s="72" t="s">
        <v>319</v>
      </c>
      <c r="D68" s="154" t="s">
        <v>320</v>
      </c>
      <c r="E68" s="154">
        <v>59</v>
      </c>
      <c r="F68" s="154">
        <v>74</v>
      </c>
      <c r="G68" s="154">
        <v>69</v>
      </c>
      <c r="H68" s="154">
        <v>20</v>
      </c>
      <c r="I68" s="154">
        <v>29</v>
      </c>
      <c r="J68" s="154">
        <v>25</v>
      </c>
      <c r="K68" s="154">
        <v>25</v>
      </c>
      <c r="L68" s="154">
        <f>25-1</f>
        <v>24</v>
      </c>
      <c r="M68" s="154">
        <v>29</v>
      </c>
      <c r="N68" s="154">
        <v>25</v>
      </c>
    </row>
    <row r="69" spans="2:14" x14ac:dyDescent="0.25">
      <c r="B69" s="163"/>
      <c r="C69" s="72" t="s">
        <v>321</v>
      </c>
      <c r="D69" s="154" t="s">
        <v>320</v>
      </c>
      <c r="E69" s="154">
        <v>2150</v>
      </c>
      <c r="F69" s="154">
        <v>209.1</v>
      </c>
      <c r="G69" s="154">
        <v>209.1</v>
      </c>
      <c r="H69" s="154">
        <v>221.3</v>
      </c>
      <c r="I69" s="69">
        <v>190.3</v>
      </c>
      <c r="J69" s="69">
        <v>293.89999999999998</v>
      </c>
      <c r="K69" s="69">
        <f>255.9-7.1-0.08</f>
        <v>248.72</v>
      </c>
      <c r="L69" s="69">
        <f>246.8+0.57</f>
        <v>247.37</v>
      </c>
      <c r="M69" s="69">
        <v>246.8</v>
      </c>
      <c r="N69" s="69">
        <v>246.8</v>
      </c>
    </row>
    <row r="70" spans="2:14" x14ac:dyDescent="0.25">
      <c r="B70" s="163"/>
      <c r="C70" s="72" t="s">
        <v>395</v>
      </c>
      <c r="D70" s="154" t="s">
        <v>320</v>
      </c>
      <c r="E70" s="154">
        <v>0</v>
      </c>
      <c r="F70" s="154">
        <v>0</v>
      </c>
      <c r="G70" s="154">
        <v>0</v>
      </c>
      <c r="H70" s="154">
        <v>0</v>
      </c>
      <c r="I70" s="69">
        <v>0</v>
      </c>
      <c r="J70" s="69">
        <v>57.8</v>
      </c>
      <c r="K70" s="69">
        <f>59.6-0.75-0.8-0.3-0.9</f>
        <v>56.850000000000009</v>
      </c>
      <c r="L70" s="69">
        <f>68.9-2.25-0.25-0.25-1.25</f>
        <v>64.900000000000006</v>
      </c>
      <c r="M70" s="69">
        <v>68.900000000000006</v>
      </c>
      <c r="N70" s="69">
        <v>68.900000000000006</v>
      </c>
    </row>
    <row r="71" spans="2:14" ht="105" x14ac:dyDescent="0.25">
      <c r="B71" s="156" t="s">
        <v>272</v>
      </c>
      <c r="C71" s="68" t="s">
        <v>273</v>
      </c>
      <c r="D71" s="154" t="s">
        <v>259</v>
      </c>
      <c r="E71" s="154">
        <v>100</v>
      </c>
      <c r="F71" s="154">
        <v>100</v>
      </c>
      <c r="G71" s="154">
        <v>100</v>
      </c>
      <c r="H71" s="154">
        <v>100</v>
      </c>
      <c r="I71" s="154">
        <v>100</v>
      </c>
      <c r="J71" s="154">
        <v>100</v>
      </c>
      <c r="K71" s="154">
        <v>100</v>
      </c>
      <c r="L71" s="154">
        <v>100</v>
      </c>
      <c r="M71" s="154">
        <v>100</v>
      </c>
      <c r="N71" s="154">
        <v>100</v>
      </c>
    </row>
    <row r="72" spans="2:14" ht="105" x14ac:dyDescent="0.25">
      <c r="B72" s="156" t="s">
        <v>322</v>
      </c>
      <c r="C72" s="68" t="s">
        <v>323</v>
      </c>
      <c r="D72" s="154" t="s">
        <v>259</v>
      </c>
      <c r="E72" s="154">
        <v>100</v>
      </c>
      <c r="F72" s="154">
        <v>100</v>
      </c>
      <c r="G72" s="154">
        <v>100</v>
      </c>
      <c r="H72" s="154">
        <v>100</v>
      </c>
      <c r="I72" s="154">
        <v>100</v>
      </c>
      <c r="J72" s="154">
        <v>100</v>
      </c>
      <c r="K72" s="154">
        <v>100</v>
      </c>
      <c r="L72" s="154">
        <v>100</v>
      </c>
      <c r="M72" s="154">
        <v>100</v>
      </c>
      <c r="N72" s="154">
        <v>100</v>
      </c>
    </row>
  </sheetData>
  <mergeCells count="43">
    <mergeCell ref="K1:N1"/>
    <mergeCell ref="B2:N2"/>
    <mergeCell ref="B4:B5"/>
    <mergeCell ref="C4:C5"/>
    <mergeCell ref="D4:D5"/>
    <mergeCell ref="E4:E5"/>
    <mergeCell ref="F4:N4"/>
    <mergeCell ref="B40:N40"/>
    <mergeCell ref="B6:N6"/>
    <mergeCell ref="B7:N7"/>
    <mergeCell ref="B8:B10"/>
    <mergeCell ref="B11:N11"/>
    <mergeCell ref="B12:B13"/>
    <mergeCell ref="B14:K14"/>
    <mergeCell ref="B15:B16"/>
    <mergeCell ref="B20:N20"/>
    <mergeCell ref="B21:N21"/>
    <mergeCell ref="B22:B33"/>
    <mergeCell ref="B34:B39"/>
    <mergeCell ref="B46:N46"/>
    <mergeCell ref="B41:N41"/>
    <mergeCell ref="B43:B44"/>
    <mergeCell ref="C43:C44"/>
    <mergeCell ref="D43:D44"/>
    <mergeCell ref="E43:E44"/>
    <mergeCell ref="F43:F44"/>
    <mergeCell ref="G43:G44"/>
    <mergeCell ref="H43:H44"/>
    <mergeCell ref="I43:I44"/>
    <mergeCell ref="J43:J44"/>
    <mergeCell ref="K43:K44"/>
    <mergeCell ref="L43:L44"/>
    <mergeCell ref="M43:M44"/>
    <mergeCell ref="N43:N44"/>
    <mergeCell ref="B45:N45"/>
    <mergeCell ref="B63:N63"/>
    <mergeCell ref="B64:B70"/>
    <mergeCell ref="B48:N48"/>
    <mergeCell ref="B49:B53"/>
    <mergeCell ref="B54:N54"/>
    <mergeCell ref="B55:N55"/>
    <mergeCell ref="B56:B61"/>
    <mergeCell ref="B62:N62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E175"/>
  <sheetViews>
    <sheetView tabSelected="1" view="pageBreakPreview" zoomScale="50" zoomScaleNormal="70" zoomScaleSheetLayoutView="50" workbookViewId="0">
      <pane xSplit="4" ySplit="8" topLeftCell="X9" activePane="bottomRight" state="frozen"/>
      <selection pane="topRight" activeCell="E1" sqref="E1"/>
      <selection pane="bottomLeft" activeCell="A9" sqref="A9"/>
      <selection pane="bottomRight" activeCell="AQ169" activeCellId="2" sqref="AQ167 AQ168 AQ169"/>
    </sheetView>
  </sheetViews>
  <sheetFormatPr defaultColWidth="9.140625" defaultRowHeight="18.75" outlineLevelRow="3" outlineLevelCol="1" x14ac:dyDescent="0.25"/>
  <cols>
    <col min="1" max="1" width="10.85546875" style="89" customWidth="1"/>
    <col min="2" max="2" width="36.85546875" style="89" customWidth="1"/>
    <col min="3" max="3" width="20" style="89" customWidth="1"/>
    <col min="4" max="4" width="21.5703125" style="89" customWidth="1"/>
    <col min="5" max="5" width="17.5703125" style="92" customWidth="1"/>
    <col min="6" max="6" width="15.140625" style="89" customWidth="1"/>
    <col min="7" max="7" width="0.28515625" style="89" customWidth="1"/>
    <col min="8" max="8" width="17.85546875" style="89" customWidth="1" collapsed="1"/>
    <col min="9" max="9" width="17.85546875" style="89" customWidth="1"/>
    <col min="10" max="10" width="16.85546875" style="92" customWidth="1" collapsed="1"/>
    <col min="11" max="11" width="16.85546875" style="89" hidden="1" customWidth="1" outlineLevel="1"/>
    <col min="12" max="12" width="16.85546875" style="89" customWidth="1"/>
    <col min="13" max="13" width="16.85546875" style="89" customWidth="1" collapsed="1"/>
    <col min="14" max="14" width="15.7109375" style="89" customWidth="1"/>
    <col min="15" max="15" width="16.85546875" style="93" customWidth="1" collapsed="1"/>
    <col min="16" max="16" width="16.85546875" style="91" hidden="1" customWidth="1" outlineLevel="1"/>
    <col min="17" max="17" width="16.85546875" style="89" customWidth="1"/>
    <col min="18" max="18" width="14.85546875" style="89" customWidth="1" collapsed="1"/>
    <col min="19" max="19" width="15.7109375" style="89" customWidth="1"/>
    <col min="20" max="20" width="15.28515625" style="92" customWidth="1" collapsed="1"/>
    <col min="21" max="21" width="16.85546875" style="89" hidden="1" customWidth="1" outlineLevel="1" collapsed="1"/>
    <col min="22" max="22" width="16.85546875" style="89" customWidth="1"/>
    <col min="23" max="23" width="15.5703125" style="89" customWidth="1" collapsed="1"/>
    <col min="24" max="24" width="15.7109375" style="91" customWidth="1"/>
    <col min="25" max="25" width="17.7109375" style="92" customWidth="1" collapsed="1"/>
    <col min="26" max="26" width="16.85546875" style="89" hidden="1" customWidth="1" outlineLevel="1" collapsed="1"/>
    <col min="27" max="27" width="16.85546875" style="89" customWidth="1"/>
    <col min="28" max="28" width="15.85546875" style="89" customWidth="1" collapsed="1"/>
    <col min="29" max="29" width="15.7109375" style="91" customWidth="1"/>
    <col min="30" max="30" width="15.5703125" style="92" customWidth="1" collapsed="1"/>
    <col min="31" max="31" width="16.85546875" style="89" hidden="1" customWidth="1" outlineLevel="1" collapsed="1"/>
    <col min="32" max="32" width="16.85546875" style="89" customWidth="1"/>
    <col min="33" max="33" width="15" style="89" customWidth="1" collapsed="1"/>
    <col min="34" max="34" width="15.7109375" style="91" customWidth="1"/>
    <col min="35" max="35" width="15" style="92" customWidth="1" collapsed="1"/>
    <col min="36" max="36" width="16.85546875" style="89" hidden="1" customWidth="1" outlineLevel="1" collapsed="1"/>
    <col min="37" max="37" width="16.85546875" style="89" customWidth="1"/>
    <col min="38" max="38" width="15.42578125" style="89" customWidth="1" collapsed="1"/>
    <col min="39" max="39" width="15.7109375" style="91" customWidth="1"/>
    <col min="40" max="40" width="15" style="92" customWidth="1" collapsed="1"/>
    <col min="41" max="41" width="16.85546875" style="89" hidden="1" customWidth="1" outlineLevel="1" collapsed="1"/>
    <col min="42" max="42" width="16.85546875" style="89" customWidth="1"/>
    <col min="43" max="43" width="15.42578125" style="89" customWidth="1" collapsed="1"/>
    <col min="44" max="44" width="15.7109375" style="91" customWidth="1"/>
    <col min="45" max="45" width="15" style="92" customWidth="1" collapsed="1"/>
    <col min="46" max="46" width="16.85546875" style="89" hidden="1" customWidth="1" outlineLevel="1" collapsed="1"/>
    <col min="47" max="47" width="16.85546875" style="89" customWidth="1"/>
    <col min="48" max="48" width="15.42578125" style="89" customWidth="1" collapsed="1"/>
    <col min="49" max="49" width="15.7109375" style="91" customWidth="1"/>
    <col min="50" max="50" width="15" style="92" customWidth="1" collapsed="1"/>
    <col min="51" max="51" width="16.85546875" style="89" hidden="1" customWidth="1" outlineLevel="1" collapsed="1"/>
    <col min="52" max="52" width="16.85546875" style="89" customWidth="1"/>
    <col min="53" max="53" width="15.42578125" style="89" customWidth="1"/>
    <col min="54" max="54" width="15.7109375" style="91" customWidth="1"/>
    <col min="55" max="16384" width="9.140625" style="89"/>
  </cols>
  <sheetData>
    <row r="1" spans="1:54" s="80" customFormat="1" x14ac:dyDescent="0.25">
      <c r="B1" s="81"/>
      <c r="C1" s="82"/>
      <c r="D1" s="82"/>
      <c r="E1" s="83"/>
      <c r="F1" s="84"/>
      <c r="G1" s="84"/>
      <c r="H1" s="84"/>
      <c r="I1" s="84"/>
      <c r="J1" s="85"/>
      <c r="K1" s="86"/>
      <c r="O1" s="87"/>
      <c r="AH1" s="88"/>
      <c r="AI1" s="88"/>
      <c r="AJ1" s="88"/>
      <c r="AK1" s="88"/>
      <c r="AL1" s="88"/>
      <c r="AN1" s="88"/>
      <c r="AO1" s="88"/>
      <c r="AP1" s="88"/>
      <c r="AQ1" s="88"/>
      <c r="AS1" s="88"/>
      <c r="AT1" s="88"/>
      <c r="AU1" s="88"/>
      <c r="AV1" s="202" t="s">
        <v>376</v>
      </c>
      <c r="AW1" s="202"/>
      <c r="AX1" s="202"/>
      <c r="AY1" s="202"/>
      <c r="AZ1" s="202"/>
      <c r="BA1" s="202"/>
    </row>
    <row r="2" spans="1:54" x14ac:dyDescent="0.25">
      <c r="B2" s="90"/>
      <c r="C2" s="90"/>
      <c r="D2" s="90"/>
      <c r="E2" s="174" t="s">
        <v>490</v>
      </c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90"/>
      <c r="Z2" s="90"/>
      <c r="AA2" s="90"/>
      <c r="AB2" s="90"/>
      <c r="AC2" s="90"/>
      <c r="AD2" s="90"/>
      <c r="AE2" s="90"/>
      <c r="AF2" s="174" t="s">
        <v>490</v>
      </c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</row>
    <row r="3" spans="1:54" x14ac:dyDescent="0.25">
      <c r="AD3" s="94"/>
    </row>
    <row r="4" spans="1:54" x14ac:dyDescent="0.25">
      <c r="A4" s="203" t="s">
        <v>2</v>
      </c>
      <c r="B4" s="203" t="s">
        <v>4</v>
      </c>
      <c r="C4" s="203" t="s">
        <v>86</v>
      </c>
      <c r="D4" s="203" t="s">
        <v>0</v>
      </c>
      <c r="E4" s="206" t="s">
        <v>398</v>
      </c>
      <c r="F4" s="207"/>
      <c r="G4" s="207"/>
      <c r="H4" s="207"/>
      <c r="I4" s="208"/>
      <c r="J4" s="212" t="s">
        <v>3</v>
      </c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3"/>
      <c r="AK4" s="213"/>
      <c r="AL4" s="213"/>
      <c r="AM4" s="213"/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89"/>
    </row>
    <row r="5" spans="1:54" x14ac:dyDescent="0.25">
      <c r="A5" s="204"/>
      <c r="B5" s="204"/>
      <c r="C5" s="204"/>
      <c r="D5" s="204"/>
      <c r="E5" s="209"/>
      <c r="F5" s="210"/>
      <c r="G5" s="210"/>
      <c r="H5" s="210"/>
      <c r="I5" s="211"/>
      <c r="J5" s="179" t="s">
        <v>7</v>
      </c>
      <c r="K5" s="180"/>
      <c r="L5" s="180"/>
      <c r="M5" s="180"/>
      <c r="N5" s="181"/>
      <c r="O5" s="179" t="s">
        <v>8</v>
      </c>
      <c r="P5" s="180"/>
      <c r="Q5" s="180"/>
      <c r="R5" s="180"/>
      <c r="S5" s="181"/>
      <c r="T5" s="179" t="s">
        <v>9</v>
      </c>
      <c r="U5" s="180"/>
      <c r="V5" s="180"/>
      <c r="W5" s="180"/>
      <c r="X5" s="181"/>
      <c r="Y5" s="179" t="s">
        <v>151</v>
      </c>
      <c r="Z5" s="180"/>
      <c r="AA5" s="180"/>
      <c r="AB5" s="180"/>
      <c r="AC5" s="181"/>
      <c r="AD5" s="179" t="s">
        <v>152</v>
      </c>
      <c r="AE5" s="180"/>
      <c r="AF5" s="180"/>
      <c r="AG5" s="180"/>
      <c r="AH5" s="181"/>
      <c r="AI5" s="179" t="s">
        <v>153</v>
      </c>
      <c r="AJ5" s="180"/>
      <c r="AK5" s="180"/>
      <c r="AL5" s="180"/>
      <c r="AM5" s="181"/>
      <c r="AN5" s="179" t="s">
        <v>380</v>
      </c>
      <c r="AO5" s="180"/>
      <c r="AP5" s="180"/>
      <c r="AQ5" s="180"/>
      <c r="AR5" s="181"/>
      <c r="AS5" s="179" t="s">
        <v>382</v>
      </c>
      <c r="AT5" s="180"/>
      <c r="AU5" s="180"/>
      <c r="AV5" s="180"/>
      <c r="AW5" s="181"/>
      <c r="AX5" s="179" t="s">
        <v>381</v>
      </c>
      <c r="AY5" s="180"/>
      <c r="AZ5" s="180"/>
      <c r="BA5" s="180"/>
      <c r="BB5" s="181"/>
    </row>
    <row r="6" spans="1:54" x14ac:dyDescent="0.25">
      <c r="A6" s="204"/>
      <c r="B6" s="204"/>
      <c r="C6" s="204"/>
      <c r="D6" s="204"/>
      <c r="E6" s="182" t="s">
        <v>1</v>
      </c>
      <c r="F6" s="175" t="s">
        <v>3</v>
      </c>
      <c r="G6" s="176"/>
      <c r="H6" s="176"/>
      <c r="I6" s="177"/>
      <c r="J6" s="182" t="s">
        <v>1</v>
      </c>
      <c r="K6" s="175" t="s">
        <v>3</v>
      </c>
      <c r="L6" s="176"/>
      <c r="M6" s="176"/>
      <c r="N6" s="177"/>
      <c r="O6" s="182" t="s">
        <v>1</v>
      </c>
      <c r="P6" s="175" t="s">
        <v>3</v>
      </c>
      <c r="Q6" s="176"/>
      <c r="R6" s="176"/>
      <c r="S6" s="177"/>
      <c r="T6" s="182" t="s">
        <v>1</v>
      </c>
      <c r="U6" s="175" t="s">
        <v>3</v>
      </c>
      <c r="V6" s="176"/>
      <c r="W6" s="176"/>
      <c r="X6" s="177"/>
      <c r="Y6" s="182" t="s">
        <v>1</v>
      </c>
      <c r="Z6" s="175" t="s">
        <v>3</v>
      </c>
      <c r="AA6" s="176"/>
      <c r="AB6" s="176"/>
      <c r="AC6" s="177"/>
      <c r="AD6" s="182" t="s">
        <v>1</v>
      </c>
      <c r="AE6" s="175" t="s">
        <v>3</v>
      </c>
      <c r="AF6" s="176"/>
      <c r="AG6" s="176"/>
      <c r="AH6" s="177"/>
      <c r="AI6" s="182" t="s">
        <v>1</v>
      </c>
      <c r="AJ6" s="175" t="s">
        <v>3</v>
      </c>
      <c r="AK6" s="176"/>
      <c r="AL6" s="176"/>
      <c r="AM6" s="177"/>
      <c r="AN6" s="182" t="s">
        <v>1</v>
      </c>
      <c r="AR6" s="92"/>
      <c r="AS6" s="182" t="s">
        <v>1</v>
      </c>
      <c r="AW6" s="92"/>
      <c r="AX6" s="182" t="s">
        <v>1</v>
      </c>
      <c r="BB6" s="92"/>
    </row>
    <row r="7" spans="1:54" s="96" customFormat="1" ht="262.5" x14ac:dyDescent="0.25">
      <c r="A7" s="205"/>
      <c r="B7" s="205"/>
      <c r="C7" s="205"/>
      <c r="D7" s="205"/>
      <c r="E7" s="183"/>
      <c r="F7" s="95" t="s">
        <v>30</v>
      </c>
      <c r="G7" s="95" t="s">
        <v>30</v>
      </c>
      <c r="H7" s="95" t="s">
        <v>31</v>
      </c>
      <c r="I7" s="95" t="s">
        <v>32</v>
      </c>
      <c r="J7" s="183"/>
      <c r="K7" s="95" t="s">
        <v>29</v>
      </c>
      <c r="L7" s="95" t="s">
        <v>30</v>
      </c>
      <c r="M7" s="95" t="s">
        <v>31</v>
      </c>
      <c r="N7" s="95" t="s">
        <v>32</v>
      </c>
      <c r="O7" s="183"/>
      <c r="P7" s="95" t="s">
        <v>29</v>
      </c>
      <c r="Q7" s="95" t="s">
        <v>30</v>
      </c>
      <c r="R7" s="95" t="s">
        <v>31</v>
      </c>
      <c r="S7" s="95" t="s">
        <v>32</v>
      </c>
      <c r="T7" s="183"/>
      <c r="U7" s="95" t="s">
        <v>29</v>
      </c>
      <c r="V7" s="95" t="s">
        <v>30</v>
      </c>
      <c r="W7" s="95" t="s">
        <v>31</v>
      </c>
      <c r="X7" s="95" t="s">
        <v>32</v>
      </c>
      <c r="Y7" s="183"/>
      <c r="Z7" s="95" t="s">
        <v>29</v>
      </c>
      <c r="AA7" s="95" t="s">
        <v>30</v>
      </c>
      <c r="AB7" s="95" t="s">
        <v>31</v>
      </c>
      <c r="AC7" s="95" t="s">
        <v>32</v>
      </c>
      <c r="AD7" s="183"/>
      <c r="AE7" s="95" t="s">
        <v>29</v>
      </c>
      <c r="AF7" s="95" t="s">
        <v>30</v>
      </c>
      <c r="AG7" s="95" t="s">
        <v>31</v>
      </c>
      <c r="AH7" s="95" t="s">
        <v>32</v>
      </c>
      <c r="AI7" s="183"/>
      <c r="AJ7" s="95" t="s">
        <v>29</v>
      </c>
      <c r="AK7" s="95" t="s">
        <v>30</v>
      </c>
      <c r="AL7" s="95" t="s">
        <v>31</v>
      </c>
      <c r="AM7" s="95" t="s">
        <v>32</v>
      </c>
      <c r="AN7" s="183"/>
      <c r="AO7" s="95" t="s">
        <v>29</v>
      </c>
      <c r="AP7" s="95" t="s">
        <v>30</v>
      </c>
      <c r="AQ7" s="95" t="s">
        <v>31</v>
      </c>
      <c r="AR7" s="95" t="s">
        <v>32</v>
      </c>
      <c r="AS7" s="183"/>
      <c r="AT7" s="95" t="s">
        <v>29</v>
      </c>
      <c r="AU7" s="95" t="s">
        <v>30</v>
      </c>
      <c r="AV7" s="95" t="s">
        <v>31</v>
      </c>
      <c r="AW7" s="95" t="s">
        <v>32</v>
      </c>
      <c r="AX7" s="183"/>
      <c r="AY7" s="95" t="s">
        <v>29</v>
      </c>
      <c r="AZ7" s="95" t="s">
        <v>30</v>
      </c>
      <c r="BA7" s="95" t="s">
        <v>31</v>
      </c>
      <c r="BB7" s="95" t="s">
        <v>32</v>
      </c>
    </row>
    <row r="8" spans="1:54" s="98" customFormat="1" x14ac:dyDescent="0.25">
      <c r="A8" s="97">
        <v>1</v>
      </c>
      <c r="B8" s="97">
        <v>2</v>
      </c>
      <c r="C8" s="97">
        <v>3</v>
      </c>
      <c r="D8" s="97">
        <v>4</v>
      </c>
      <c r="E8" s="97">
        <v>5</v>
      </c>
      <c r="F8" s="97">
        <v>6</v>
      </c>
      <c r="G8" s="97">
        <v>7</v>
      </c>
      <c r="H8" s="97">
        <v>7</v>
      </c>
      <c r="I8" s="97">
        <v>8</v>
      </c>
      <c r="J8" s="97">
        <v>9</v>
      </c>
      <c r="K8" s="97">
        <v>11</v>
      </c>
      <c r="L8" s="97">
        <v>10</v>
      </c>
      <c r="M8" s="97">
        <v>11</v>
      </c>
      <c r="N8" s="97">
        <v>12</v>
      </c>
      <c r="O8" s="97">
        <v>13</v>
      </c>
      <c r="P8" s="97">
        <v>16</v>
      </c>
      <c r="Q8" s="97">
        <v>14</v>
      </c>
      <c r="R8" s="97">
        <v>15</v>
      </c>
      <c r="S8" s="97">
        <v>16</v>
      </c>
      <c r="T8" s="97">
        <v>17</v>
      </c>
      <c r="U8" s="97">
        <v>21</v>
      </c>
      <c r="V8" s="97">
        <v>18</v>
      </c>
      <c r="W8" s="97">
        <v>19</v>
      </c>
      <c r="X8" s="97">
        <v>20</v>
      </c>
      <c r="Y8" s="97">
        <v>21</v>
      </c>
      <c r="Z8" s="97">
        <v>26</v>
      </c>
      <c r="AA8" s="97">
        <v>22</v>
      </c>
      <c r="AB8" s="97">
        <v>23</v>
      </c>
      <c r="AC8" s="97">
        <v>24</v>
      </c>
      <c r="AD8" s="97">
        <v>25</v>
      </c>
      <c r="AE8" s="97">
        <v>31</v>
      </c>
      <c r="AF8" s="97">
        <v>26</v>
      </c>
      <c r="AG8" s="97">
        <v>27</v>
      </c>
      <c r="AH8" s="97">
        <v>28</v>
      </c>
      <c r="AI8" s="97">
        <v>29</v>
      </c>
      <c r="AJ8" s="97">
        <v>36</v>
      </c>
      <c r="AK8" s="97">
        <v>30</v>
      </c>
      <c r="AL8" s="97">
        <v>31</v>
      </c>
      <c r="AM8" s="97">
        <v>32</v>
      </c>
      <c r="AN8" s="97">
        <v>33</v>
      </c>
      <c r="AO8" s="97">
        <v>36</v>
      </c>
      <c r="AP8" s="97">
        <v>34</v>
      </c>
      <c r="AQ8" s="97">
        <v>35</v>
      </c>
      <c r="AR8" s="97">
        <v>36</v>
      </c>
      <c r="AS8" s="97">
        <v>37</v>
      </c>
      <c r="AT8" s="97">
        <v>36</v>
      </c>
      <c r="AU8" s="97">
        <v>38</v>
      </c>
      <c r="AV8" s="97">
        <v>39</v>
      </c>
      <c r="AW8" s="97">
        <v>40</v>
      </c>
      <c r="AX8" s="97">
        <v>41</v>
      </c>
      <c r="AY8" s="97">
        <v>36</v>
      </c>
      <c r="AZ8" s="97">
        <v>42</v>
      </c>
      <c r="BA8" s="97">
        <v>43</v>
      </c>
      <c r="BB8" s="97">
        <v>44</v>
      </c>
    </row>
    <row r="9" spans="1:54" s="98" customFormat="1" x14ac:dyDescent="0.25">
      <c r="A9" s="97"/>
      <c r="B9" s="186" t="s">
        <v>399</v>
      </c>
      <c r="C9" s="186"/>
      <c r="D9" s="186"/>
      <c r="E9" s="99">
        <f>H9</f>
        <v>2691047</v>
      </c>
      <c r="F9" s="99">
        <f t="shared" ref="F9:V9" si="0">F10+F30+F92+F95+F101+F111</f>
        <v>0</v>
      </c>
      <c r="G9" s="99">
        <f t="shared" si="0"/>
        <v>0</v>
      </c>
      <c r="H9" s="99">
        <f>M9+R9+W9+AB9+AG9+AL9+AQ9+AV9+BA9</f>
        <v>2691047</v>
      </c>
      <c r="I9" s="99">
        <f t="shared" si="0"/>
        <v>0</v>
      </c>
      <c r="J9" s="99">
        <f t="shared" si="0"/>
        <v>246073.60000000003</v>
      </c>
      <c r="K9" s="99">
        <f t="shared" si="0"/>
        <v>0</v>
      </c>
      <c r="L9" s="99">
        <f t="shared" si="0"/>
        <v>0</v>
      </c>
      <c r="M9" s="99">
        <f>ROUND((M10+M30+M92+M95+M101+M111),1)</f>
        <v>246073.60000000001</v>
      </c>
      <c r="N9" s="99">
        <f t="shared" si="0"/>
        <v>0</v>
      </c>
      <c r="O9" s="99">
        <f t="shared" si="0"/>
        <v>261112.30000000002</v>
      </c>
      <c r="P9" s="99">
        <f t="shared" si="0"/>
        <v>0</v>
      </c>
      <c r="Q9" s="99">
        <f t="shared" si="0"/>
        <v>0</v>
      </c>
      <c r="R9" s="99">
        <f>ROUND((R10+R30+R92+R95+R101+R111),1)</f>
        <v>261112.3</v>
      </c>
      <c r="S9" s="99">
        <f t="shared" si="0"/>
        <v>0</v>
      </c>
      <c r="T9" s="99">
        <f t="shared" si="0"/>
        <v>262991.80000000005</v>
      </c>
      <c r="U9" s="99">
        <f t="shared" si="0"/>
        <v>0</v>
      </c>
      <c r="V9" s="99">
        <f t="shared" si="0"/>
        <v>0</v>
      </c>
      <c r="W9" s="99">
        <f>ROUND((W10+W30+W92+W95+W101+W111),1)</f>
        <v>262991.8</v>
      </c>
      <c r="X9" s="99">
        <f>X10+X30+X92+X95+X101</f>
        <v>0</v>
      </c>
      <c r="Y9" s="99">
        <f>Y10+Y30+Y92+Y95+Y101+Y111</f>
        <v>270818</v>
      </c>
      <c r="Z9" s="99">
        <f>Z10+Z30+Z92+Z95+Z101+Z111</f>
        <v>0</v>
      </c>
      <c r="AA9" s="99">
        <f>AA10+AA30+AA92+AA95+AA101+AA111</f>
        <v>0</v>
      </c>
      <c r="AB9" s="99">
        <f>ROUND((AB10+AB30+AB92+AB95+AB101+AB111),1)</f>
        <v>270818</v>
      </c>
      <c r="AC9" s="99">
        <f>AC10+AC30+AC92+AC95+AC101</f>
        <v>0</v>
      </c>
      <c r="AD9" s="99">
        <f>AD10+AD30+AD92+AD95+AD101+AD111</f>
        <v>326773.49999999994</v>
      </c>
      <c r="AE9" s="99">
        <f>AE10+AE30+AE92+AE95+AE101+AE111</f>
        <v>0</v>
      </c>
      <c r="AF9" s="99">
        <f>AF10+AF30+AF92+AF95+AF101+AF111</f>
        <v>0</v>
      </c>
      <c r="AG9" s="99">
        <f>ROUND((AG10+AG30+AG92+AG95+AG101+AG111),1)</f>
        <v>326773.5</v>
      </c>
      <c r="AH9" s="99">
        <f>AH10+AH30+AH92+AH95+AH101</f>
        <v>0</v>
      </c>
      <c r="AI9" s="99">
        <f>AI10+AI30+AI92+AI95+AI101+AI111</f>
        <v>311271.2</v>
      </c>
      <c r="AJ9" s="99">
        <f>AJ10+AJ30+AJ92+AJ95+AJ101+AJ111</f>
        <v>0</v>
      </c>
      <c r="AK9" s="99">
        <f>AK10+AK30+AK92+AK95+AK101+AK111</f>
        <v>0</v>
      </c>
      <c r="AL9" s="99">
        <f>ROUND((AL10+AL30+AL92+AL95+AL101+AL111),1)</f>
        <v>311271.2</v>
      </c>
      <c r="AM9" s="99">
        <f>AM10+AM30+AM92+AM95+AM101</f>
        <v>0</v>
      </c>
      <c r="AN9" s="99">
        <f>AN10+AN30+AN92+AN95+AN101+AN111</f>
        <v>327475.10000000003</v>
      </c>
      <c r="AO9" s="99">
        <f>AO10+AO30+AO92+AO95+AO101+AO111</f>
        <v>0</v>
      </c>
      <c r="AP9" s="99">
        <f>AP10+AP30+AP92+AP95+AP101+AP111</f>
        <v>0</v>
      </c>
      <c r="AQ9" s="99">
        <f>ROUND((AQ10+AQ30+AQ92+AQ95+AQ101+AQ111),1)</f>
        <v>327475.09999999998</v>
      </c>
      <c r="AR9" s="99">
        <f>AR10+AR30+AR92+AR95+AR101</f>
        <v>0</v>
      </c>
      <c r="AS9" s="99">
        <f>AS10+AS30+AS92+AS95+AS101+AS111</f>
        <v>339376.2</v>
      </c>
      <c r="AT9" s="99">
        <f>AT10+AT30+AT92+AT95+AT101+AT111</f>
        <v>0</v>
      </c>
      <c r="AU9" s="99">
        <f>AU10+AU30+AU92+AU95+AU101+AU111</f>
        <v>0</v>
      </c>
      <c r="AV9" s="99">
        <f>ROUND((AV10+AV30+AV92+AV95+AV101+AV111),1)</f>
        <v>339376.2</v>
      </c>
      <c r="AW9" s="99">
        <f>AW10+AW30+AW92+AW95+AW101</f>
        <v>0</v>
      </c>
      <c r="AX9" s="99">
        <f>AX10+AX30+AX92+AX95+AX101+AX111</f>
        <v>345155.30000000005</v>
      </c>
      <c r="AY9" s="99">
        <f>AY10+AY30+AY92+AY95+AY101+AY111</f>
        <v>0</v>
      </c>
      <c r="AZ9" s="99">
        <f>AZ10+AZ30+AZ92+AZ95+AZ101+AZ111</f>
        <v>0</v>
      </c>
      <c r="BA9" s="99">
        <f>ROUND((BA10+BA30+BA92+BA95+BA101+BA111),1)</f>
        <v>345155.3</v>
      </c>
      <c r="BB9" s="99">
        <f>BB10+BB30+BB92+BB95+BB101</f>
        <v>0</v>
      </c>
    </row>
    <row r="10" spans="1:54" s="98" customFormat="1" outlineLevel="1" x14ac:dyDescent="0.25">
      <c r="A10" s="97">
        <v>1</v>
      </c>
      <c r="B10" s="186" t="s">
        <v>5</v>
      </c>
      <c r="C10" s="186"/>
      <c r="D10" s="186"/>
      <c r="E10" s="99">
        <f>E11+E15+E20+E25</f>
        <v>964760.30000000016</v>
      </c>
      <c r="F10" s="99">
        <f t="shared" ref="F10:W10" si="1">F11+F15+F20+F25</f>
        <v>0</v>
      </c>
      <c r="G10" s="99">
        <f t="shared" si="1"/>
        <v>0</v>
      </c>
      <c r="H10" s="99">
        <f>H11+H15+H20+H25</f>
        <v>964760.30000000016</v>
      </c>
      <c r="I10" s="99">
        <f t="shared" si="1"/>
        <v>0</v>
      </c>
      <c r="J10" s="99">
        <f t="shared" si="1"/>
        <v>100018.40000000001</v>
      </c>
      <c r="K10" s="99">
        <f t="shared" si="1"/>
        <v>0</v>
      </c>
      <c r="L10" s="99">
        <f t="shared" si="1"/>
        <v>0</v>
      </c>
      <c r="M10" s="99">
        <f t="shared" si="1"/>
        <v>100018.40000000001</v>
      </c>
      <c r="N10" s="99">
        <f t="shared" si="1"/>
        <v>0</v>
      </c>
      <c r="O10" s="99">
        <f t="shared" si="1"/>
        <v>91057.200000000012</v>
      </c>
      <c r="P10" s="99">
        <f t="shared" si="1"/>
        <v>0</v>
      </c>
      <c r="Q10" s="99">
        <f t="shared" si="1"/>
        <v>0</v>
      </c>
      <c r="R10" s="99">
        <f t="shared" si="1"/>
        <v>91057.200000000012</v>
      </c>
      <c r="S10" s="99">
        <f t="shared" si="1"/>
        <v>0</v>
      </c>
      <c r="T10" s="99">
        <f t="shared" si="1"/>
        <v>93670.1</v>
      </c>
      <c r="U10" s="99">
        <f t="shared" si="1"/>
        <v>0</v>
      </c>
      <c r="V10" s="99">
        <f t="shared" si="1"/>
        <v>0</v>
      </c>
      <c r="W10" s="99">
        <f t="shared" si="1"/>
        <v>93670.1</v>
      </c>
      <c r="X10" s="99">
        <f>X11+X15+X20+X25</f>
        <v>0</v>
      </c>
      <c r="Y10" s="99">
        <f t="shared" ref="Y10:AB10" si="2">Y11+Y15+Y20+Y25</f>
        <v>102618.8</v>
      </c>
      <c r="Z10" s="99">
        <f t="shared" si="2"/>
        <v>0</v>
      </c>
      <c r="AA10" s="99">
        <f t="shared" si="2"/>
        <v>0</v>
      </c>
      <c r="AB10" s="99">
        <f t="shared" si="2"/>
        <v>102618.8</v>
      </c>
      <c r="AC10" s="99">
        <f>AC11+AC15+AC20+AC25</f>
        <v>0</v>
      </c>
      <c r="AD10" s="99">
        <f t="shared" ref="AD10:AG10" si="3">AD11+AD15+AD20+AD25</f>
        <v>107007.09999999999</v>
      </c>
      <c r="AE10" s="99">
        <f t="shared" si="3"/>
        <v>0</v>
      </c>
      <c r="AF10" s="99">
        <f t="shared" si="3"/>
        <v>0</v>
      </c>
      <c r="AG10" s="99">
        <f t="shared" si="3"/>
        <v>107007.09999999999</v>
      </c>
      <c r="AH10" s="99">
        <f>AH11+AH15+AH20+AH25</f>
        <v>0</v>
      </c>
      <c r="AI10" s="99">
        <f t="shared" ref="AI10:AL10" si="4">AI11+AI15+AI20+AI25</f>
        <v>112691.60000000002</v>
      </c>
      <c r="AJ10" s="99">
        <f t="shared" si="4"/>
        <v>0</v>
      </c>
      <c r="AK10" s="99">
        <f t="shared" si="4"/>
        <v>0</v>
      </c>
      <c r="AL10" s="99">
        <f t="shared" si="4"/>
        <v>112691.60000000002</v>
      </c>
      <c r="AM10" s="99">
        <f>AM11+AM15+AM20+AM25</f>
        <v>0</v>
      </c>
      <c r="AN10" s="99">
        <f t="shared" ref="AN10:AQ10" si="5">AN11+AN15+AN20+AN25</f>
        <v>115957.69999999998</v>
      </c>
      <c r="AO10" s="99">
        <f t="shared" si="5"/>
        <v>0</v>
      </c>
      <c r="AP10" s="99">
        <f t="shared" si="5"/>
        <v>0</v>
      </c>
      <c r="AQ10" s="99">
        <f t="shared" si="5"/>
        <v>115957.69999999998</v>
      </c>
      <c r="AR10" s="99">
        <f>AR11+AR15+AR20+AR25</f>
        <v>0</v>
      </c>
      <c r="AS10" s="99">
        <f t="shared" ref="AS10:AV10" si="6">AS11+AS15+AS20+AS25</f>
        <v>121094.8</v>
      </c>
      <c r="AT10" s="99">
        <f t="shared" si="6"/>
        <v>0</v>
      </c>
      <c r="AU10" s="99">
        <f t="shared" si="6"/>
        <v>0</v>
      </c>
      <c r="AV10" s="99">
        <f t="shared" si="6"/>
        <v>121094.8</v>
      </c>
      <c r="AW10" s="99">
        <f>AW11+AW15+AW20+AW25</f>
        <v>0</v>
      </c>
      <c r="AX10" s="99">
        <f t="shared" ref="AX10:BA10" si="7">AX11+AX15+AX20+AX25</f>
        <v>120644.6</v>
      </c>
      <c r="AY10" s="99">
        <f t="shared" si="7"/>
        <v>0</v>
      </c>
      <c r="AZ10" s="99">
        <f t="shared" si="7"/>
        <v>0</v>
      </c>
      <c r="BA10" s="99">
        <f t="shared" si="7"/>
        <v>120644.6</v>
      </c>
      <c r="BB10" s="99">
        <f>BB11+BB15+BB20+BB25</f>
        <v>0</v>
      </c>
    </row>
    <row r="11" spans="1:54" s="98" customFormat="1" outlineLevel="2" x14ac:dyDescent="0.25">
      <c r="A11" s="97" t="s">
        <v>21</v>
      </c>
      <c r="B11" s="178" t="s">
        <v>15</v>
      </c>
      <c r="C11" s="178"/>
      <c r="D11" s="178"/>
      <c r="E11" s="99">
        <f>SUM(E12:E14)</f>
        <v>806709.30000000016</v>
      </c>
      <c r="F11" s="99">
        <f t="shared" ref="F11:AM11" si="8">SUM(F12:F14)</f>
        <v>0</v>
      </c>
      <c r="G11" s="99">
        <f t="shared" si="8"/>
        <v>0</v>
      </c>
      <c r="H11" s="99">
        <f>SUM(H12:H14)</f>
        <v>806709.30000000016</v>
      </c>
      <c r="I11" s="99">
        <f t="shared" si="8"/>
        <v>0</v>
      </c>
      <c r="J11" s="99">
        <f t="shared" si="8"/>
        <v>83282.700000000012</v>
      </c>
      <c r="K11" s="99">
        <f t="shared" si="8"/>
        <v>0</v>
      </c>
      <c r="L11" s="99">
        <f t="shared" si="8"/>
        <v>0</v>
      </c>
      <c r="M11" s="99">
        <f t="shared" si="8"/>
        <v>83282.700000000012</v>
      </c>
      <c r="N11" s="99">
        <f t="shared" si="8"/>
        <v>0</v>
      </c>
      <c r="O11" s="99">
        <f t="shared" si="8"/>
        <v>74488.399999999994</v>
      </c>
      <c r="P11" s="99">
        <f t="shared" si="8"/>
        <v>0</v>
      </c>
      <c r="Q11" s="99">
        <f t="shared" si="8"/>
        <v>0</v>
      </c>
      <c r="R11" s="99">
        <f t="shared" si="8"/>
        <v>74488.399999999994</v>
      </c>
      <c r="S11" s="99">
        <f t="shared" si="8"/>
        <v>0</v>
      </c>
      <c r="T11" s="99">
        <f t="shared" si="8"/>
        <v>76406.400000000009</v>
      </c>
      <c r="U11" s="99">
        <f t="shared" si="8"/>
        <v>0</v>
      </c>
      <c r="V11" s="99">
        <f t="shared" si="8"/>
        <v>0</v>
      </c>
      <c r="W11" s="99">
        <f t="shared" si="8"/>
        <v>76406.400000000009</v>
      </c>
      <c r="X11" s="99">
        <f t="shared" si="8"/>
        <v>0</v>
      </c>
      <c r="Y11" s="99">
        <f t="shared" si="8"/>
        <v>85958.5</v>
      </c>
      <c r="Z11" s="99">
        <f t="shared" si="8"/>
        <v>0</v>
      </c>
      <c r="AA11" s="99">
        <f t="shared" si="8"/>
        <v>0</v>
      </c>
      <c r="AB11" s="99">
        <f t="shared" si="8"/>
        <v>85958.5</v>
      </c>
      <c r="AC11" s="99">
        <f t="shared" si="8"/>
        <v>0</v>
      </c>
      <c r="AD11" s="99">
        <f t="shared" si="8"/>
        <v>89115.799999999988</v>
      </c>
      <c r="AE11" s="99">
        <f t="shared" si="8"/>
        <v>0</v>
      </c>
      <c r="AF11" s="99">
        <f t="shared" si="8"/>
        <v>0</v>
      </c>
      <c r="AG11" s="99">
        <f t="shared" si="8"/>
        <v>89115.799999999988</v>
      </c>
      <c r="AH11" s="99">
        <f t="shared" si="8"/>
        <v>0</v>
      </c>
      <c r="AI11" s="99">
        <f t="shared" si="8"/>
        <v>95056.300000000017</v>
      </c>
      <c r="AJ11" s="99">
        <f t="shared" si="8"/>
        <v>0</v>
      </c>
      <c r="AK11" s="99">
        <f t="shared" si="8"/>
        <v>0</v>
      </c>
      <c r="AL11" s="99">
        <f>SUM(AL12:AL14)</f>
        <v>95056.300000000017</v>
      </c>
      <c r="AM11" s="99">
        <f t="shared" si="8"/>
        <v>0</v>
      </c>
      <c r="AN11" s="99">
        <f t="shared" ref="AN11:AR11" si="9">SUM(AN12:AN14)</f>
        <v>98089.099999999991</v>
      </c>
      <c r="AO11" s="99">
        <f t="shared" si="9"/>
        <v>0</v>
      </c>
      <c r="AP11" s="99">
        <f t="shared" si="9"/>
        <v>0</v>
      </c>
      <c r="AQ11" s="99">
        <f t="shared" si="9"/>
        <v>98089.099999999991</v>
      </c>
      <c r="AR11" s="99">
        <f t="shared" si="9"/>
        <v>0</v>
      </c>
      <c r="AS11" s="99">
        <f t="shared" ref="AS11:BB11" si="10">SUM(AS12:AS14)</f>
        <v>102125.4</v>
      </c>
      <c r="AT11" s="99">
        <f t="shared" si="10"/>
        <v>0</v>
      </c>
      <c r="AU11" s="99">
        <f t="shared" si="10"/>
        <v>0</v>
      </c>
      <c r="AV11" s="99">
        <f t="shared" si="10"/>
        <v>102125.4</v>
      </c>
      <c r="AW11" s="99">
        <f t="shared" si="10"/>
        <v>0</v>
      </c>
      <c r="AX11" s="99">
        <f t="shared" si="10"/>
        <v>102186.7</v>
      </c>
      <c r="AY11" s="99">
        <f t="shared" si="10"/>
        <v>0</v>
      </c>
      <c r="AZ11" s="99">
        <f t="shared" si="10"/>
        <v>0</v>
      </c>
      <c r="BA11" s="99">
        <f t="shared" si="10"/>
        <v>102186.7</v>
      </c>
      <c r="BB11" s="99">
        <f t="shared" si="10"/>
        <v>0</v>
      </c>
    </row>
    <row r="12" spans="1:54" ht="56.25" outlineLevel="3" x14ac:dyDescent="0.25">
      <c r="A12" s="100" t="s">
        <v>38</v>
      </c>
      <c r="B12" s="101" t="s">
        <v>66</v>
      </c>
      <c r="C12" s="102" t="s">
        <v>66</v>
      </c>
      <c r="D12" s="102" t="s">
        <v>66</v>
      </c>
      <c r="E12" s="103">
        <f>SUM(F12:I12)</f>
        <v>644945.60000000009</v>
      </c>
      <c r="F12" s="104">
        <f t="shared" ref="F12:G14" si="11">K12+P12+U12</f>
        <v>0</v>
      </c>
      <c r="G12" s="104">
        <f t="shared" si="11"/>
        <v>0</v>
      </c>
      <c r="H12" s="104">
        <f>M12+R12+W12+AB12+AG12+AL12+AQ12+AV12+BA12</f>
        <v>644945.60000000009</v>
      </c>
      <c r="I12" s="104">
        <f t="shared" ref="I12:I14" si="12">N12+S12+X12</f>
        <v>0</v>
      </c>
      <c r="J12" s="99">
        <f t="shared" ref="J12:J14" si="13">SUM(K12:N12)</f>
        <v>54463.9</v>
      </c>
      <c r="K12" s="105">
        <v>0</v>
      </c>
      <c r="L12" s="105">
        <v>0</v>
      </c>
      <c r="M12" s="105">
        <v>54463.9</v>
      </c>
      <c r="N12" s="105">
        <v>0</v>
      </c>
      <c r="O12" s="99">
        <f t="shared" ref="O12:O14" si="14">SUM(P12:S12)</f>
        <v>60597.9</v>
      </c>
      <c r="P12" s="105">
        <v>0</v>
      </c>
      <c r="Q12" s="105">
        <v>0</v>
      </c>
      <c r="R12" s="105">
        <f>60077.3+534.8+41.7-2.8-26.5-26.6</f>
        <v>60597.9</v>
      </c>
      <c r="S12" s="105">
        <v>0</v>
      </c>
      <c r="T12" s="99">
        <f t="shared" ref="T12:T14" si="15">SUM(U12:X12)</f>
        <v>62250.200000000004</v>
      </c>
      <c r="U12" s="105">
        <v>0</v>
      </c>
      <c r="V12" s="105">
        <v>0</v>
      </c>
      <c r="W12" s="105">
        <f>60636.1+801.4+958.8+27.4+6.5+0.2-180.2</f>
        <v>62250.200000000004</v>
      </c>
      <c r="X12" s="105">
        <v>0</v>
      </c>
      <c r="Y12" s="99">
        <f t="shared" ref="Y12" si="16">SUM(Z12:AC12)</f>
        <v>71144</v>
      </c>
      <c r="Z12" s="105">
        <v>0</v>
      </c>
      <c r="AA12" s="105">
        <v>0</v>
      </c>
      <c r="AB12" s="105">
        <v>71144</v>
      </c>
      <c r="AC12" s="105">
        <v>0</v>
      </c>
      <c r="AD12" s="99">
        <f t="shared" ref="AD12" si="17">SUM(AE12:AH12)</f>
        <v>72192.799999999988</v>
      </c>
      <c r="AE12" s="105">
        <v>0</v>
      </c>
      <c r="AF12" s="105">
        <v>0</v>
      </c>
      <c r="AG12" s="105">
        <f>72995.2-74.1-728.3</f>
        <v>72192.799999999988</v>
      </c>
      <c r="AH12" s="105">
        <v>0</v>
      </c>
      <c r="AI12" s="99">
        <f t="shared" ref="AI12" si="18">SUM(AJ12:AM12)</f>
        <v>77464.60000000002</v>
      </c>
      <c r="AJ12" s="105">
        <v>0</v>
      </c>
      <c r="AK12" s="105">
        <v>0</v>
      </c>
      <c r="AL12" s="105">
        <f>77012.6+119-1.7+332.6+2.1</f>
        <v>77464.60000000002</v>
      </c>
      <c r="AM12" s="105">
        <v>0</v>
      </c>
      <c r="AN12" s="99">
        <f t="shared" ref="AN12" si="19">SUM(AO12:AR12)</f>
        <v>80138.899999999994</v>
      </c>
      <c r="AO12" s="105">
        <v>0</v>
      </c>
      <c r="AP12" s="105">
        <v>0</v>
      </c>
      <c r="AQ12" s="105">
        <v>80138.899999999994</v>
      </c>
      <c r="AR12" s="105">
        <v>0</v>
      </c>
      <c r="AS12" s="99">
        <f t="shared" ref="AS12" si="20">SUM(AT12:AW12)</f>
        <v>83232.899999999994</v>
      </c>
      <c r="AT12" s="105">
        <v>0</v>
      </c>
      <c r="AU12" s="105">
        <v>0</v>
      </c>
      <c r="AV12" s="105">
        <f>79133.4+4099.5</f>
        <v>83232.899999999994</v>
      </c>
      <c r="AW12" s="105">
        <v>0</v>
      </c>
      <c r="AX12" s="99">
        <f t="shared" ref="AX12" si="21">SUM(AY12:BB12)</f>
        <v>83460.399999999994</v>
      </c>
      <c r="AY12" s="105">
        <v>0</v>
      </c>
      <c r="AZ12" s="105">
        <v>0</v>
      </c>
      <c r="BA12" s="105">
        <f>79360.9+4099.5</f>
        <v>83460.399999999994</v>
      </c>
      <c r="BB12" s="105">
        <v>0</v>
      </c>
    </row>
    <row r="13" spans="1:54" ht="75" outlineLevel="3" x14ac:dyDescent="0.25">
      <c r="A13" s="100" t="s">
        <v>39</v>
      </c>
      <c r="B13" s="101" t="s">
        <v>10</v>
      </c>
      <c r="C13" s="102" t="s">
        <v>10</v>
      </c>
      <c r="D13" s="102" t="s">
        <v>10</v>
      </c>
      <c r="E13" s="103">
        <f>SUM(F13:I13)</f>
        <v>143007.79999999999</v>
      </c>
      <c r="F13" s="104">
        <f t="shared" si="11"/>
        <v>0</v>
      </c>
      <c r="G13" s="104">
        <f t="shared" si="11"/>
        <v>0</v>
      </c>
      <c r="H13" s="104">
        <f t="shared" ref="H13:H29" si="22">M13+R13+W13+AB13+AG13+AL13+AQ13+AV13+BA13</f>
        <v>143007.79999999999</v>
      </c>
      <c r="I13" s="104">
        <f t="shared" si="12"/>
        <v>0</v>
      </c>
      <c r="J13" s="99">
        <f t="shared" si="13"/>
        <v>10062.9</v>
      </c>
      <c r="K13" s="105">
        <v>0</v>
      </c>
      <c r="L13" s="105">
        <v>0</v>
      </c>
      <c r="M13" s="105">
        <f>9998.9+64</f>
        <v>10062.9</v>
      </c>
      <c r="N13" s="105">
        <v>0</v>
      </c>
      <c r="O13" s="99">
        <f t="shared" si="14"/>
        <v>13890.5</v>
      </c>
      <c r="P13" s="105">
        <v>0</v>
      </c>
      <c r="Q13" s="105">
        <v>0</v>
      </c>
      <c r="R13" s="105">
        <v>13890.5</v>
      </c>
      <c r="S13" s="105">
        <v>0</v>
      </c>
      <c r="T13" s="99">
        <f t="shared" ref="T13" si="23">SUM(U13:X13)</f>
        <v>14156.2</v>
      </c>
      <c r="U13" s="105">
        <v>0</v>
      </c>
      <c r="V13" s="105">
        <v>0</v>
      </c>
      <c r="W13" s="105">
        <f>13904+215+37.2</f>
        <v>14156.2</v>
      </c>
      <c r="X13" s="105">
        <v>0</v>
      </c>
      <c r="Y13" s="99">
        <f t="shared" ref="Y13" si="24">SUM(Z13:AC13)</f>
        <v>14814.5</v>
      </c>
      <c r="Z13" s="105">
        <v>0</v>
      </c>
      <c r="AA13" s="105">
        <v>0</v>
      </c>
      <c r="AB13" s="105">
        <v>14814.5</v>
      </c>
      <c r="AC13" s="105">
        <v>0</v>
      </c>
      <c r="AD13" s="99">
        <f t="shared" ref="AD13" si="25">SUM(AE13:AH13)</f>
        <v>16923</v>
      </c>
      <c r="AE13" s="105">
        <v>0</v>
      </c>
      <c r="AF13" s="105">
        <v>0</v>
      </c>
      <c r="AG13" s="105">
        <v>16923</v>
      </c>
      <c r="AH13" s="105">
        <v>0</v>
      </c>
      <c r="AI13" s="99">
        <f t="shared" ref="AI13" si="26">SUM(AJ13:AM13)</f>
        <v>17591.7</v>
      </c>
      <c r="AJ13" s="105">
        <v>0</v>
      </c>
      <c r="AK13" s="105">
        <v>0</v>
      </c>
      <c r="AL13" s="105">
        <f>17565.3+43.4-18+1</f>
        <v>17591.7</v>
      </c>
      <c r="AM13" s="105">
        <v>0</v>
      </c>
      <c r="AN13" s="99">
        <f t="shared" ref="AN13" si="27">SUM(AO13:AR13)</f>
        <v>17950.2</v>
      </c>
      <c r="AO13" s="105">
        <v>0</v>
      </c>
      <c r="AP13" s="105">
        <v>0</v>
      </c>
      <c r="AQ13" s="105">
        <v>17950.2</v>
      </c>
      <c r="AR13" s="105">
        <v>0</v>
      </c>
      <c r="AS13" s="99">
        <f t="shared" ref="AS13" si="28">SUM(AT13:AW13)</f>
        <v>18892.5</v>
      </c>
      <c r="AT13" s="105">
        <v>0</v>
      </c>
      <c r="AU13" s="105">
        <v>0</v>
      </c>
      <c r="AV13" s="105">
        <f>17991.9+900.6</f>
        <v>18892.5</v>
      </c>
      <c r="AW13" s="105">
        <v>0</v>
      </c>
      <c r="AX13" s="99">
        <f t="shared" ref="AX13" si="29">SUM(AY13:BB13)</f>
        <v>18726.3</v>
      </c>
      <c r="AY13" s="105">
        <v>0</v>
      </c>
      <c r="AZ13" s="105">
        <v>0</v>
      </c>
      <c r="BA13" s="105">
        <f>17825.7+900.6</f>
        <v>18726.3</v>
      </c>
      <c r="BB13" s="105">
        <v>0</v>
      </c>
    </row>
    <row r="14" spans="1:54" ht="75" outlineLevel="3" x14ac:dyDescent="0.25">
      <c r="A14" s="100" t="s">
        <v>40</v>
      </c>
      <c r="B14" s="101" t="s">
        <v>68</v>
      </c>
      <c r="C14" s="106" t="s">
        <v>68</v>
      </c>
      <c r="D14" s="106" t="s">
        <v>68</v>
      </c>
      <c r="E14" s="103">
        <f>SUM(F14:I14)</f>
        <v>18755.900000000001</v>
      </c>
      <c r="F14" s="104"/>
      <c r="G14" s="104">
        <f t="shared" si="11"/>
        <v>0</v>
      </c>
      <c r="H14" s="104">
        <f t="shared" si="22"/>
        <v>18755.900000000001</v>
      </c>
      <c r="I14" s="104">
        <f t="shared" si="12"/>
        <v>0</v>
      </c>
      <c r="J14" s="99">
        <f t="shared" si="13"/>
        <v>18755.900000000001</v>
      </c>
      <c r="K14" s="105">
        <v>0</v>
      </c>
      <c r="L14" s="105">
        <v>0</v>
      </c>
      <c r="M14" s="105">
        <f>22345.7+138.7-3728.5</f>
        <v>18755.900000000001</v>
      </c>
      <c r="N14" s="105">
        <v>0</v>
      </c>
      <c r="O14" s="99">
        <f t="shared" si="14"/>
        <v>0</v>
      </c>
      <c r="P14" s="105">
        <v>0</v>
      </c>
      <c r="Q14" s="105">
        <v>0</v>
      </c>
      <c r="R14" s="105">
        <v>0</v>
      </c>
      <c r="S14" s="105">
        <v>0</v>
      </c>
      <c r="T14" s="99">
        <f t="shared" si="15"/>
        <v>0</v>
      </c>
      <c r="U14" s="105">
        <v>0</v>
      </c>
      <c r="V14" s="105">
        <v>0</v>
      </c>
      <c r="W14" s="105">
        <v>0</v>
      </c>
      <c r="X14" s="105">
        <v>0</v>
      </c>
      <c r="Y14" s="99">
        <f t="shared" ref="Y14" si="30">SUM(Z14:AC14)</f>
        <v>0</v>
      </c>
      <c r="Z14" s="105">
        <v>0</v>
      </c>
      <c r="AA14" s="105">
        <v>0</v>
      </c>
      <c r="AB14" s="105">
        <v>0</v>
      </c>
      <c r="AC14" s="105">
        <v>0</v>
      </c>
      <c r="AD14" s="99">
        <f t="shared" ref="AD14" si="31">SUM(AE14:AH14)</f>
        <v>0</v>
      </c>
      <c r="AE14" s="105">
        <v>0</v>
      </c>
      <c r="AF14" s="105">
        <v>0</v>
      </c>
      <c r="AG14" s="105">
        <v>0</v>
      </c>
      <c r="AH14" s="105">
        <v>0</v>
      </c>
      <c r="AI14" s="99">
        <f t="shared" ref="AI14" si="32">SUM(AJ14:AM14)</f>
        <v>0</v>
      </c>
      <c r="AJ14" s="105">
        <v>0</v>
      </c>
      <c r="AK14" s="105">
        <v>0</v>
      </c>
      <c r="AL14" s="105">
        <v>0</v>
      </c>
      <c r="AM14" s="105">
        <v>0</v>
      </c>
      <c r="AN14" s="99">
        <f t="shared" ref="AN14" si="33">SUM(AO14:AR14)</f>
        <v>0</v>
      </c>
      <c r="AO14" s="105">
        <v>0</v>
      </c>
      <c r="AP14" s="105">
        <v>0</v>
      </c>
      <c r="AQ14" s="105">
        <v>0</v>
      </c>
      <c r="AR14" s="105">
        <v>0</v>
      </c>
      <c r="AS14" s="99">
        <f t="shared" ref="AS14" si="34">SUM(AT14:AW14)</f>
        <v>0</v>
      </c>
      <c r="AT14" s="105">
        <v>0</v>
      </c>
      <c r="AU14" s="105">
        <v>0</v>
      </c>
      <c r="AV14" s="105">
        <v>0</v>
      </c>
      <c r="AW14" s="105">
        <v>0</v>
      </c>
      <c r="AX14" s="99">
        <f t="shared" ref="AX14" si="35">SUM(AY14:BB14)</f>
        <v>0</v>
      </c>
      <c r="AY14" s="105">
        <v>0</v>
      </c>
      <c r="AZ14" s="105">
        <v>0</v>
      </c>
      <c r="BA14" s="105">
        <v>0</v>
      </c>
      <c r="BB14" s="105">
        <v>0</v>
      </c>
    </row>
    <row r="15" spans="1:54" s="98" customFormat="1" ht="75.75" customHeight="1" outlineLevel="2" x14ac:dyDescent="0.25">
      <c r="A15" s="97" t="s">
        <v>22</v>
      </c>
      <c r="B15" s="178" t="s">
        <v>353</v>
      </c>
      <c r="C15" s="178"/>
      <c r="D15" s="178"/>
      <c r="E15" s="99">
        <f>SUM(E16:E19)</f>
        <v>2790.6</v>
      </c>
      <c r="F15" s="99">
        <f t="shared" ref="F15:AM15" si="36">SUM(F16:F19)</f>
        <v>0</v>
      </c>
      <c r="G15" s="99">
        <f t="shared" si="36"/>
        <v>0</v>
      </c>
      <c r="H15" s="99">
        <f t="shared" si="36"/>
        <v>2790.6</v>
      </c>
      <c r="I15" s="99">
        <f t="shared" si="36"/>
        <v>0</v>
      </c>
      <c r="J15" s="99">
        <f t="shared" si="36"/>
        <v>256.70000000000005</v>
      </c>
      <c r="K15" s="99">
        <f t="shared" si="36"/>
        <v>0</v>
      </c>
      <c r="L15" s="99">
        <f t="shared" si="36"/>
        <v>0</v>
      </c>
      <c r="M15" s="99">
        <f t="shared" si="36"/>
        <v>256.70000000000005</v>
      </c>
      <c r="N15" s="99">
        <f t="shared" si="36"/>
        <v>0</v>
      </c>
      <c r="O15" s="99">
        <f t="shared" si="36"/>
        <v>226.10000000000002</v>
      </c>
      <c r="P15" s="99">
        <f t="shared" si="36"/>
        <v>0</v>
      </c>
      <c r="Q15" s="99">
        <f t="shared" si="36"/>
        <v>0</v>
      </c>
      <c r="R15" s="99">
        <f t="shared" si="36"/>
        <v>226.10000000000002</v>
      </c>
      <c r="S15" s="99">
        <f t="shared" si="36"/>
        <v>0</v>
      </c>
      <c r="T15" s="99">
        <f t="shared" si="36"/>
        <v>310.3</v>
      </c>
      <c r="U15" s="99">
        <f t="shared" si="36"/>
        <v>0</v>
      </c>
      <c r="V15" s="99">
        <f t="shared" si="36"/>
        <v>0</v>
      </c>
      <c r="W15" s="99">
        <f t="shared" si="36"/>
        <v>310.3</v>
      </c>
      <c r="X15" s="99">
        <f t="shared" si="36"/>
        <v>0</v>
      </c>
      <c r="Y15" s="99">
        <f t="shared" si="36"/>
        <v>204.8</v>
      </c>
      <c r="Z15" s="99">
        <f t="shared" si="36"/>
        <v>0</v>
      </c>
      <c r="AA15" s="99">
        <f t="shared" si="36"/>
        <v>0</v>
      </c>
      <c r="AB15" s="99">
        <f t="shared" si="36"/>
        <v>204.8</v>
      </c>
      <c r="AC15" s="99">
        <f t="shared" si="36"/>
        <v>0</v>
      </c>
      <c r="AD15" s="99">
        <f t="shared" si="36"/>
        <v>247.3</v>
      </c>
      <c r="AE15" s="99">
        <f t="shared" si="36"/>
        <v>0</v>
      </c>
      <c r="AF15" s="99">
        <f t="shared" si="36"/>
        <v>0</v>
      </c>
      <c r="AG15" s="99">
        <f t="shared" si="36"/>
        <v>247.3</v>
      </c>
      <c r="AH15" s="99">
        <f t="shared" si="36"/>
        <v>0</v>
      </c>
      <c r="AI15" s="99">
        <f t="shared" si="36"/>
        <v>284.60000000000002</v>
      </c>
      <c r="AJ15" s="99">
        <f t="shared" si="36"/>
        <v>0</v>
      </c>
      <c r="AK15" s="99">
        <f t="shared" si="36"/>
        <v>0</v>
      </c>
      <c r="AL15" s="99">
        <f t="shared" si="36"/>
        <v>284.60000000000002</v>
      </c>
      <c r="AM15" s="99">
        <f t="shared" si="36"/>
        <v>0</v>
      </c>
      <c r="AN15" s="99">
        <f t="shared" ref="AN15:AR15" si="37">SUM(AN16:AN19)</f>
        <v>344.7</v>
      </c>
      <c r="AO15" s="99">
        <f t="shared" si="37"/>
        <v>0</v>
      </c>
      <c r="AP15" s="99">
        <f t="shared" si="37"/>
        <v>0</v>
      </c>
      <c r="AQ15" s="99">
        <f t="shared" si="37"/>
        <v>344.7</v>
      </c>
      <c r="AR15" s="99">
        <f t="shared" si="37"/>
        <v>0</v>
      </c>
      <c r="AS15" s="99">
        <f t="shared" ref="AS15:BB15" si="38">SUM(AS16:AS19)</f>
        <v>447.79999999999995</v>
      </c>
      <c r="AT15" s="99">
        <f t="shared" si="38"/>
        <v>0</v>
      </c>
      <c r="AU15" s="99">
        <f t="shared" si="38"/>
        <v>0</v>
      </c>
      <c r="AV15" s="99">
        <f t="shared" si="38"/>
        <v>447.79999999999995</v>
      </c>
      <c r="AW15" s="99">
        <f t="shared" si="38"/>
        <v>0</v>
      </c>
      <c r="AX15" s="99">
        <f t="shared" si="38"/>
        <v>468.29999999999995</v>
      </c>
      <c r="AY15" s="99">
        <f t="shared" si="38"/>
        <v>0</v>
      </c>
      <c r="AZ15" s="99">
        <f t="shared" si="38"/>
        <v>0</v>
      </c>
      <c r="BA15" s="99">
        <f t="shared" si="38"/>
        <v>468.29999999999995</v>
      </c>
      <c r="BB15" s="99">
        <f t="shared" si="38"/>
        <v>0</v>
      </c>
    </row>
    <row r="16" spans="1:54" ht="56.25" outlineLevel="3" x14ac:dyDescent="0.25">
      <c r="A16" s="100" t="s">
        <v>41</v>
      </c>
      <c r="B16" s="101" t="s">
        <v>66</v>
      </c>
      <c r="C16" s="102" t="s">
        <v>66</v>
      </c>
      <c r="D16" s="102" t="s">
        <v>66</v>
      </c>
      <c r="E16" s="103">
        <f t="shared" ref="E16:E19" si="39">SUM(F16:I16)</f>
        <v>1297.8</v>
      </c>
      <c r="F16" s="104">
        <f t="shared" ref="F16:G19" si="40">K16+P16+U16</f>
        <v>0</v>
      </c>
      <c r="G16" s="104">
        <f t="shared" si="40"/>
        <v>0</v>
      </c>
      <c r="H16" s="104">
        <f t="shared" si="22"/>
        <v>1297.8</v>
      </c>
      <c r="I16" s="104">
        <f t="shared" ref="I16:I19" si="41">N16+S16+X16</f>
        <v>0</v>
      </c>
      <c r="J16" s="99">
        <f t="shared" ref="J16:J19" si="42">SUM(K16:N16)</f>
        <v>101.5</v>
      </c>
      <c r="K16" s="105">
        <v>0</v>
      </c>
      <c r="L16" s="105">
        <v>0</v>
      </c>
      <c r="M16" s="105">
        <v>101.5</v>
      </c>
      <c r="N16" s="105">
        <v>0</v>
      </c>
      <c r="O16" s="99">
        <f t="shared" ref="O16:O19" si="43">SUM(P16:S16)</f>
        <v>114.20000000000002</v>
      </c>
      <c r="P16" s="105">
        <v>0</v>
      </c>
      <c r="Q16" s="105">
        <v>0</v>
      </c>
      <c r="R16" s="105">
        <f>128.8-14.6</f>
        <v>114.20000000000002</v>
      </c>
      <c r="S16" s="105">
        <v>0</v>
      </c>
      <c r="T16" s="99">
        <f t="shared" ref="T16:T19" si="44">SUM(U16:X16)</f>
        <v>179.10000000000002</v>
      </c>
      <c r="U16" s="105">
        <v>0</v>
      </c>
      <c r="V16" s="105">
        <v>0</v>
      </c>
      <c r="W16" s="105">
        <f>130.8+69.7-14.7-6.5-0.2</f>
        <v>179.10000000000002</v>
      </c>
      <c r="X16" s="105">
        <v>0</v>
      </c>
      <c r="Y16" s="99">
        <f t="shared" ref="Y16:Y19" si="45">SUM(Z16:AC16)</f>
        <v>122</v>
      </c>
      <c r="Z16" s="105">
        <v>0</v>
      </c>
      <c r="AA16" s="105">
        <v>0</v>
      </c>
      <c r="AB16" s="105">
        <v>122</v>
      </c>
      <c r="AC16" s="105">
        <v>0</v>
      </c>
      <c r="AD16" s="99">
        <f t="shared" ref="AD16:AD19" si="46">SUM(AE16:AH16)</f>
        <v>95</v>
      </c>
      <c r="AE16" s="105">
        <v>0</v>
      </c>
      <c r="AF16" s="105">
        <v>0</v>
      </c>
      <c r="AG16" s="105">
        <v>95</v>
      </c>
      <c r="AH16" s="105">
        <v>0</v>
      </c>
      <c r="AI16" s="99">
        <f t="shared" ref="AI16:AI18" si="47">SUM(AJ16:AM16)</f>
        <v>132</v>
      </c>
      <c r="AJ16" s="105">
        <v>0</v>
      </c>
      <c r="AK16" s="105">
        <v>0</v>
      </c>
      <c r="AL16" s="105">
        <f>132.4+1.7-2.1</f>
        <v>132</v>
      </c>
      <c r="AM16" s="105">
        <v>0</v>
      </c>
      <c r="AN16" s="99">
        <f t="shared" ref="AN16:AN19" si="48">SUM(AO16:AR16)</f>
        <v>160.6</v>
      </c>
      <c r="AO16" s="105">
        <v>0</v>
      </c>
      <c r="AP16" s="105">
        <v>0</v>
      </c>
      <c r="AQ16" s="105">
        <v>160.6</v>
      </c>
      <c r="AR16" s="105">
        <v>0</v>
      </c>
      <c r="AS16" s="99">
        <f t="shared" ref="AS16:AS19" si="49">SUM(AT16:AW16)</f>
        <v>191.6</v>
      </c>
      <c r="AT16" s="105">
        <v>0</v>
      </c>
      <c r="AU16" s="105">
        <v>0</v>
      </c>
      <c r="AV16" s="105">
        <v>191.6</v>
      </c>
      <c r="AW16" s="105">
        <v>0</v>
      </c>
      <c r="AX16" s="99">
        <f t="shared" ref="AX16:AX19" si="50">SUM(AY16:BB16)</f>
        <v>201.8</v>
      </c>
      <c r="AY16" s="105">
        <v>0</v>
      </c>
      <c r="AZ16" s="105">
        <v>0</v>
      </c>
      <c r="BA16" s="105">
        <v>201.8</v>
      </c>
      <c r="BB16" s="105">
        <v>0</v>
      </c>
    </row>
    <row r="17" spans="1:54" ht="75" outlineLevel="3" x14ac:dyDescent="0.25">
      <c r="A17" s="100" t="s">
        <v>42</v>
      </c>
      <c r="B17" s="101" t="s">
        <v>10</v>
      </c>
      <c r="C17" s="102" t="s">
        <v>10</v>
      </c>
      <c r="D17" s="102" t="s">
        <v>10</v>
      </c>
      <c r="E17" s="103">
        <f t="shared" ref="E17" si="51">SUM(F17:I17)</f>
        <v>448.29999999999995</v>
      </c>
      <c r="F17" s="104">
        <f t="shared" si="40"/>
        <v>0</v>
      </c>
      <c r="G17" s="104">
        <f t="shared" si="40"/>
        <v>0</v>
      </c>
      <c r="H17" s="104">
        <f t="shared" si="22"/>
        <v>448.29999999999995</v>
      </c>
      <c r="I17" s="104">
        <f t="shared" si="41"/>
        <v>0</v>
      </c>
      <c r="J17" s="99">
        <f t="shared" si="42"/>
        <v>27.6</v>
      </c>
      <c r="K17" s="105">
        <v>0</v>
      </c>
      <c r="L17" s="105">
        <v>0</v>
      </c>
      <c r="M17" s="105">
        <v>27.6</v>
      </c>
      <c r="N17" s="105">
        <v>0</v>
      </c>
      <c r="O17" s="99">
        <f t="shared" si="43"/>
        <v>41</v>
      </c>
      <c r="P17" s="105">
        <v>0</v>
      </c>
      <c r="Q17" s="105">
        <v>0</v>
      </c>
      <c r="R17" s="105">
        <v>41</v>
      </c>
      <c r="S17" s="105">
        <v>0</v>
      </c>
      <c r="T17" s="99">
        <f t="shared" si="44"/>
        <v>42.7</v>
      </c>
      <c r="U17" s="105">
        <v>0</v>
      </c>
      <c r="V17" s="105">
        <v>0</v>
      </c>
      <c r="W17" s="105">
        <f>38.8+5.2-1.3</f>
        <v>42.7</v>
      </c>
      <c r="X17" s="105">
        <v>0</v>
      </c>
      <c r="Y17" s="99">
        <f t="shared" si="45"/>
        <v>0</v>
      </c>
      <c r="Z17" s="105">
        <v>0</v>
      </c>
      <c r="AA17" s="105">
        <v>0</v>
      </c>
      <c r="AB17" s="105">
        <v>0</v>
      </c>
      <c r="AC17" s="105">
        <v>0</v>
      </c>
      <c r="AD17" s="99">
        <f t="shared" si="46"/>
        <v>35</v>
      </c>
      <c r="AE17" s="105">
        <v>0</v>
      </c>
      <c r="AF17" s="105">
        <v>0</v>
      </c>
      <c r="AG17" s="105">
        <v>35</v>
      </c>
      <c r="AH17" s="105">
        <v>0</v>
      </c>
      <c r="AI17" s="99">
        <f t="shared" ref="AI17" si="52">SUM(AJ17:AM17)</f>
        <v>59.5</v>
      </c>
      <c r="AJ17" s="105">
        <v>0</v>
      </c>
      <c r="AK17" s="105">
        <v>0</v>
      </c>
      <c r="AL17" s="105">
        <f>41.5+18</f>
        <v>59.5</v>
      </c>
      <c r="AM17" s="105">
        <v>0</v>
      </c>
      <c r="AN17" s="99">
        <f t="shared" si="48"/>
        <v>75.599999999999994</v>
      </c>
      <c r="AO17" s="105">
        <v>0</v>
      </c>
      <c r="AP17" s="105">
        <v>0</v>
      </c>
      <c r="AQ17" s="105">
        <v>75.599999999999994</v>
      </c>
      <c r="AR17" s="105">
        <v>0</v>
      </c>
      <c r="AS17" s="99">
        <f t="shared" si="49"/>
        <v>81.8</v>
      </c>
      <c r="AT17" s="105">
        <v>0</v>
      </c>
      <c r="AU17" s="105">
        <v>0</v>
      </c>
      <c r="AV17" s="105">
        <v>81.8</v>
      </c>
      <c r="AW17" s="105">
        <v>0</v>
      </c>
      <c r="AX17" s="99">
        <f t="shared" si="50"/>
        <v>85.1</v>
      </c>
      <c r="AY17" s="105">
        <v>0</v>
      </c>
      <c r="AZ17" s="105">
        <v>0</v>
      </c>
      <c r="BA17" s="105">
        <v>85.1</v>
      </c>
      <c r="BB17" s="105">
        <v>0</v>
      </c>
    </row>
    <row r="18" spans="1:54" ht="75" outlineLevel="3" x14ac:dyDescent="0.25">
      <c r="A18" s="100" t="s">
        <v>43</v>
      </c>
      <c r="B18" s="101" t="s">
        <v>68</v>
      </c>
      <c r="C18" s="106" t="s">
        <v>68</v>
      </c>
      <c r="D18" s="106" t="s">
        <v>68</v>
      </c>
      <c r="E18" s="103">
        <f t="shared" si="39"/>
        <v>46.2</v>
      </c>
      <c r="F18" s="104">
        <f t="shared" si="40"/>
        <v>0</v>
      </c>
      <c r="G18" s="104">
        <f t="shared" si="40"/>
        <v>0</v>
      </c>
      <c r="H18" s="104">
        <f t="shared" si="22"/>
        <v>46.2</v>
      </c>
      <c r="I18" s="104">
        <f t="shared" si="41"/>
        <v>0</v>
      </c>
      <c r="J18" s="99">
        <f t="shared" si="42"/>
        <v>46.2</v>
      </c>
      <c r="K18" s="105">
        <v>0</v>
      </c>
      <c r="L18" s="105">
        <v>0</v>
      </c>
      <c r="M18" s="105">
        <f>46.2</f>
        <v>46.2</v>
      </c>
      <c r="N18" s="105">
        <v>0</v>
      </c>
      <c r="O18" s="99">
        <f t="shared" si="43"/>
        <v>0</v>
      </c>
      <c r="P18" s="105">
        <v>0</v>
      </c>
      <c r="Q18" s="105">
        <v>0</v>
      </c>
      <c r="R18" s="105">
        <v>0</v>
      </c>
      <c r="S18" s="105">
        <v>0</v>
      </c>
      <c r="T18" s="99">
        <f t="shared" si="44"/>
        <v>0</v>
      </c>
      <c r="U18" s="105">
        <v>0</v>
      </c>
      <c r="V18" s="105">
        <v>0</v>
      </c>
      <c r="W18" s="105">
        <v>0</v>
      </c>
      <c r="X18" s="105">
        <v>0</v>
      </c>
      <c r="Y18" s="99">
        <f t="shared" si="45"/>
        <v>0</v>
      </c>
      <c r="Z18" s="105">
        <v>0</v>
      </c>
      <c r="AA18" s="105">
        <v>0</v>
      </c>
      <c r="AB18" s="105">
        <v>0</v>
      </c>
      <c r="AC18" s="105">
        <v>0</v>
      </c>
      <c r="AD18" s="99">
        <f t="shared" si="46"/>
        <v>0</v>
      </c>
      <c r="AE18" s="105">
        <v>0</v>
      </c>
      <c r="AF18" s="105">
        <v>0</v>
      </c>
      <c r="AG18" s="105">
        <v>0</v>
      </c>
      <c r="AH18" s="105">
        <v>0</v>
      </c>
      <c r="AI18" s="99">
        <f t="shared" si="47"/>
        <v>0</v>
      </c>
      <c r="AJ18" s="105">
        <v>0</v>
      </c>
      <c r="AK18" s="105">
        <v>0</v>
      </c>
      <c r="AL18" s="105">
        <v>0</v>
      </c>
      <c r="AM18" s="105">
        <v>0</v>
      </c>
      <c r="AN18" s="99">
        <f t="shared" si="48"/>
        <v>0</v>
      </c>
      <c r="AO18" s="105">
        <v>0</v>
      </c>
      <c r="AP18" s="105">
        <v>0</v>
      </c>
      <c r="AQ18" s="105">
        <v>0</v>
      </c>
      <c r="AR18" s="105">
        <v>0</v>
      </c>
      <c r="AS18" s="99">
        <f t="shared" si="49"/>
        <v>0</v>
      </c>
      <c r="AT18" s="105">
        <v>0</v>
      </c>
      <c r="AU18" s="105">
        <v>0</v>
      </c>
      <c r="AV18" s="105">
        <v>0</v>
      </c>
      <c r="AW18" s="105">
        <v>0</v>
      </c>
      <c r="AX18" s="99">
        <f t="shared" si="50"/>
        <v>0</v>
      </c>
      <c r="AY18" s="105">
        <v>0</v>
      </c>
      <c r="AZ18" s="105">
        <v>0</v>
      </c>
      <c r="BA18" s="105">
        <v>0</v>
      </c>
      <c r="BB18" s="105">
        <v>0</v>
      </c>
    </row>
    <row r="19" spans="1:54" ht="93.75" outlineLevel="3" x14ac:dyDescent="0.25">
      <c r="A19" s="100" t="s">
        <v>44</v>
      </c>
      <c r="B19" s="101" t="s">
        <v>67</v>
      </c>
      <c r="C19" s="106" t="s">
        <v>67</v>
      </c>
      <c r="D19" s="106" t="s">
        <v>67</v>
      </c>
      <c r="E19" s="103">
        <f t="shared" si="39"/>
        <v>998.3</v>
      </c>
      <c r="F19" s="104">
        <f t="shared" si="40"/>
        <v>0</v>
      </c>
      <c r="G19" s="104">
        <f t="shared" si="40"/>
        <v>0</v>
      </c>
      <c r="H19" s="104">
        <f t="shared" si="22"/>
        <v>998.3</v>
      </c>
      <c r="I19" s="104">
        <f t="shared" si="41"/>
        <v>0</v>
      </c>
      <c r="J19" s="99">
        <f t="shared" si="42"/>
        <v>81.400000000000006</v>
      </c>
      <c r="K19" s="105">
        <v>0</v>
      </c>
      <c r="L19" s="105">
        <v>0</v>
      </c>
      <c r="M19" s="105">
        <v>81.400000000000006</v>
      </c>
      <c r="N19" s="105">
        <v>0</v>
      </c>
      <c r="O19" s="99">
        <f t="shared" si="43"/>
        <v>70.900000000000006</v>
      </c>
      <c r="P19" s="105">
        <v>0</v>
      </c>
      <c r="Q19" s="105">
        <v>0</v>
      </c>
      <c r="R19" s="105">
        <v>70.900000000000006</v>
      </c>
      <c r="S19" s="105">
        <v>0</v>
      </c>
      <c r="T19" s="99">
        <f t="shared" si="44"/>
        <v>88.5</v>
      </c>
      <c r="U19" s="105">
        <v>0</v>
      </c>
      <c r="V19" s="105">
        <v>0</v>
      </c>
      <c r="W19" s="105">
        <f>82.1+6.4</f>
        <v>88.5</v>
      </c>
      <c r="X19" s="105">
        <v>0</v>
      </c>
      <c r="Y19" s="99">
        <f t="shared" si="45"/>
        <v>82.8</v>
      </c>
      <c r="Z19" s="105">
        <v>0</v>
      </c>
      <c r="AA19" s="105">
        <v>0</v>
      </c>
      <c r="AB19" s="105">
        <v>82.8</v>
      </c>
      <c r="AC19" s="105">
        <v>0</v>
      </c>
      <c r="AD19" s="99">
        <f t="shared" si="46"/>
        <v>117.3</v>
      </c>
      <c r="AE19" s="105">
        <v>0</v>
      </c>
      <c r="AF19" s="105">
        <v>0</v>
      </c>
      <c r="AG19" s="105">
        <v>117.3</v>
      </c>
      <c r="AH19" s="105">
        <v>0</v>
      </c>
      <c r="AI19" s="99">
        <f t="shared" ref="AI19" si="53">SUM(AJ19:AM19)</f>
        <v>93.100000000000009</v>
      </c>
      <c r="AJ19" s="105">
        <v>0</v>
      </c>
      <c r="AK19" s="105">
        <v>0</v>
      </c>
      <c r="AL19" s="105">
        <f>123.9-30.8</f>
        <v>93.100000000000009</v>
      </c>
      <c r="AM19" s="105">
        <v>0</v>
      </c>
      <c r="AN19" s="99">
        <f t="shared" si="48"/>
        <v>108.49999999999999</v>
      </c>
      <c r="AO19" s="105">
        <v>0</v>
      </c>
      <c r="AP19" s="105">
        <v>0</v>
      </c>
      <c r="AQ19" s="105">
        <f>166.7-58.2</f>
        <v>108.49999999999999</v>
      </c>
      <c r="AR19" s="105">
        <v>0</v>
      </c>
      <c r="AS19" s="99">
        <f t="shared" si="49"/>
        <v>174.4</v>
      </c>
      <c r="AT19" s="105">
        <v>0</v>
      </c>
      <c r="AU19" s="105">
        <v>0</v>
      </c>
      <c r="AV19" s="105">
        <v>174.4</v>
      </c>
      <c r="AW19" s="105">
        <v>0</v>
      </c>
      <c r="AX19" s="99">
        <f t="shared" si="50"/>
        <v>181.4</v>
      </c>
      <c r="AY19" s="105">
        <v>0</v>
      </c>
      <c r="AZ19" s="105">
        <v>0</v>
      </c>
      <c r="BA19" s="105">
        <v>181.4</v>
      </c>
      <c r="BB19" s="105">
        <v>0</v>
      </c>
    </row>
    <row r="20" spans="1:54" s="98" customFormat="1" ht="98.25" customHeight="1" outlineLevel="2" x14ac:dyDescent="0.25">
      <c r="A20" s="97" t="s">
        <v>23</v>
      </c>
      <c r="B20" s="178" t="s">
        <v>334</v>
      </c>
      <c r="C20" s="178"/>
      <c r="D20" s="178"/>
      <c r="E20" s="99">
        <f>SUM(E21:E24)</f>
        <v>16422.099999999999</v>
      </c>
      <c r="F20" s="99">
        <f t="shared" ref="F20:AM20" si="54">SUM(F21:F24)</f>
        <v>0</v>
      </c>
      <c r="G20" s="99">
        <f t="shared" si="54"/>
        <v>0</v>
      </c>
      <c r="H20" s="99">
        <f t="shared" si="54"/>
        <v>16422.099999999999</v>
      </c>
      <c r="I20" s="99">
        <f t="shared" si="54"/>
        <v>0</v>
      </c>
      <c r="J20" s="99">
        <f t="shared" si="54"/>
        <v>1321.3000000000002</v>
      </c>
      <c r="K20" s="99">
        <f t="shared" si="54"/>
        <v>0</v>
      </c>
      <c r="L20" s="99">
        <f t="shared" si="54"/>
        <v>0</v>
      </c>
      <c r="M20" s="99">
        <f t="shared" si="54"/>
        <v>1321.3000000000002</v>
      </c>
      <c r="N20" s="99">
        <f t="shared" si="54"/>
        <v>0</v>
      </c>
      <c r="O20" s="99">
        <f t="shared" si="54"/>
        <v>2066.7999999999997</v>
      </c>
      <c r="P20" s="99">
        <f t="shared" si="54"/>
        <v>0</v>
      </c>
      <c r="Q20" s="99">
        <f t="shared" si="54"/>
        <v>0</v>
      </c>
      <c r="R20" s="99">
        <f t="shared" si="54"/>
        <v>2066.7999999999997</v>
      </c>
      <c r="S20" s="99">
        <f t="shared" si="54"/>
        <v>0</v>
      </c>
      <c r="T20" s="99">
        <f t="shared" si="54"/>
        <v>1744.5</v>
      </c>
      <c r="U20" s="99">
        <f t="shared" si="54"/>
        <v>0</v>
      </c>
      <c r="V20" s="99">
        <f t="shared" si="54"/>
        <v>0</v>
      </c>
      <c r="W20" s="99">
        <f t="shared" si="54"/>
        <v>1744.5</v>
      </c>
      <c r="X20" s="99">
        <f t="shared" si="54"/>
        <v>0</v>
      </c>
      <c r="Y20" s="99">
        <f t="shared" si="54"/>
        <v>1075.2</v>
      </c>
      <c r="Z20" s="99">
        <f t="shared" si="54"/>
        <v>0</v>
      </c>
      <c r="AA20" s="99">
        <f t="shared" si="54"/>
        <v>0</v>
      </c>
      <c r="AB20" s="99">
        <f t="shared" si="54"/>
        <v>1075.2</v>
      </c>
      <c r="AC20" s="99">
        <f t="shared" si="54"/>
        <v>0</v>
      </c>
      <c r="AD20" s="99">
        <f t="shared" si="54"/>
        <v>1856.8999999999999</v>
      </c>
      <c r="AE20" s="99">
        <f t="shared" si="54"/>
        <v>0</v>
      </c>
      <c r="AF20" s="99">
        <f t="shared" si="54"/>
        <v>0</v>
      </c>
      <c r="AG20" s="99">
        <f t="shared" si="54"/>
        <v>1856.8999999999999</v>
      </c>
      <c r="AH20" s="99">
        <f t="shared" si="54"/>
        <v>0</v>
      </c>
      <c r="AI20" s="99">
        <f t="shared" si="54"/>
        <v>1486</v>
      </c>
      <c r="AJ20" s="99">
        <f t="shared" si="54"/>
        <v>0</v>
      </c>
      <c r="AK20" s="99">
        <f t="shared" si="54"/>
        <v>0</v>
      </c>
      <c r="AL20" s="99">
        <f t="shared" si="54"/>
        <v>1486</v>
      </c>
      <c r="AM20" s="99">
        <f t="shared" si="54"/>
        <v>0</v>
      </c>
      <c r="AN20" s="99">
        <f t="shared" ref="AN20:AR20" si="55">SUM(AN21:AN24)</f>
        <v>1714.7000000000003</v>
      </c>
      <c r="AO20" s="99">
        <f t="shared" si="55"/>
        <v>0</v>
      </c>
      <c r="AP20" s="99">
        <f t="shared" si="55"/>
        <v>0</v>
      </c>
      <c r="AQ20" s="99">
        <f t="shared" si="55"/>
        <v>1714.7000000000003</v>
      </c>
      <c r="AR20" s="99">
        <f t="shared" si="55"/>
        <v>0</v>
      </c>
      <c r="AS20" s="99">
        <f t="shared" ref="AS20:BB20" si="56">SUM(AS21:AS24)</f>
        <v>2861.6</v>
      </c>
      <c r="AT20" s="99">
        <f t="shared" si="56"/>
        <v>0</v>
      </c>
      <c r="AU20" s="99">
        <f t="shared" si="56"/>
        <v>0</v>
      </c>
      <c r="AV20" s="99">
        <f t="shared" si="56"/>
        <v>2861.6</v>
      </c>
      <c r="AW20" s="99">
        <f t="shared" si="56"/>
        <v>0</v>
      </c>
      <c r="AX20" s="99">
        <f t="shared" si="56"/>
        <v>2295.1</v>
      </c>
      <c r="AY20" s="99">
        <f t="shared" si="56"/>
        <v>0</v>
      </c>
      <c r="AZ20" s="99">
        <f t="shared" si="56"/>
        <v>0</v>
      </c>
      <c r="BA20" s="99">
        <f t="shared" si="56"/>
        <v>2295.1</v>
      </c>
      <c r="BB20" s="99">
        <f t="shared" si="56"/>
        <v>0</v>
      </c>
    </row>
    <row r="21" spans="1:54" ht="56.25" outlineLevel="3" x14ac:dyDescent="0.25">
      <c r="A21" s="100" t="s">
        <v>45</v>
      </c>
      <c r="B21" s="101" t="s">
        <v>66</v>
      </c>
      <c r="C21" s="102" t="s">
        <v>66</v>
      </c>
      <c r="D21" s="102" t="s">
        <v>66</v>
      </c>
      <c r="E21" s="103">
        <f t="shared" ref="E21:E24" si="57">SUM(F21:I21)</f>
        <v>9925.0999999999985</v>
      </c>
      <c r="F21" s="104">
        <f t="shared" ref="F21:G24" si="58">K21+P21+U21</f>
        <v>0</v>
      </c>
      <c r="G21" s="104">
        <f t="shared" si="58"/>
        <v>0</v>
      </c>
      <c r="H21" s="104">
        <f t="shared" si="22"/>
        <v>9925.0999999999985</v>
      </c>
      <c r="I21" s="104">
        <f t="shared" ref="I21:I24" si="59">N21+S21+X21</f>
        <v>0</v>
      </c>
      <c r="J21" s="99">
        <f t="shared" ref="J21:J24" si="60">SUM(K21:N21)</f>
        <v>871</v>
      </c>
      <c r="K21" s="105">
        <v>0</v>
      </c>
      <c r="L21" s="105">
        <v>0</v>
      </c>
      <c r="M21" s="105">
        <v>871</v>
      </c>
      <c r="N21" s="105">
        <v>0</v>
      </c>
      <c r="O21" s="99">
        <f t="shared" ref="O21:O24" si="61">SUM(P21:S21)</f>
        <v>1038.5999999999999</v>
      </c>
      <c r="P21" s="105">
        <v>0</v>
      </c>
      <c r="Q21" s="105">
        <v>0</v>
      </c>
      <c r="R21" s="105">
        <f>968.1+14.6+2.8+26.5+26.6</f>
        <v>1038.5999999999999</v>
      </c>
      <c r="S21" s="105">
        <v>0</v>
      </c>
      <c r="T21" s="99">
        <f t="shared" ref="T21:T24" si="62">SUM(U21:X21)</f>
        <v>862</v>
      </c>
      <c r="U21" s="105">
        <v>0</v>
      </c>
      <c r="V21" s="105">
        <v>0</v>
      </c>
      <c r="W21" s="105">
        <f>847.3+14.7</f>
        <v>862</v>
      </c>
      <c r="X21" s="105">
        <v>0</v>
      </c>
      <c r="Y21" s="99">
        <f t="shared" ref="Y21:Y24" si="63">SUM(Z21:AC21)</f>
        <v>997.6</v>
      </c>
      <c r="Z21" s="105">
        <v>0</v>
      </c>
      <c r="AA21" s="105">
        <v>0</v>
      </c>
      <c r="AB21" s="105">
        <v>997.6</v>
      </c>
      <c r="AC21" s="105">
        <v>0</v>
      </c>
      <c r="AD21" s="99">
        <f t="shared" ref="AD21:AD24" si="64">SUM(AE21:AH21)</f>
        <v>1338.6</v>
      </c>
      <c r="AE21" s="105">
        <v>0</v>
      </c>
      <c r="AF21" s="105">
        <v>0</v>
      </c>
      <c r="AG21" s="105">
        <v>1338.6</v>
      </c>
      <c r="AH21" s="105">
        <v>0</v>
      </c>
      <c r="AI21" s="99">
        <f t="shared" ref="AI21:AI24" si="65">SUM(AJ21:AM21)</f>
        <v>856.4</v>
      </c>
      <c r="AJ21" s="105">
        <v>0</v>
      </c>
      <c r="AK21" s="105">
        <v>0</v>
      </c>
      <c r="AL21" s="105">
        <f>990.5-134.1</f>
        <v>856.4</v>
      </c>
      <c r="AM21" s="105">
        <v>0</v>
      </c>
      <c r="AN21" s="99">
        <f t="shared" ref="AN21:AN24" si="66">SUM(AO21:AR21)</f>
        <v>1260.9000000000001</v>
      </c>
      <c r="AO21" s="105">
        <v>0</v>
      </c>
      <c r="AP21" s="105">
        <v>0</v>
      </c>
      <c r="AQ21" s="105">
        <v>1260.9000000000001</v>
      </c>
      <c r="AR21" s="105">
        <v>0</v>
      </c>
      <c r="AS21" s="99">
        <f t="shared" ref="AS21:AS24" si="67">SUM(AT21:AW21)</f>
        <v>1644.6</v>
      </c>
      <c r="AT21" s="105">
        <v>0</v>
      </c>
      <c r="AU21" s="105">
        <v>0</v>
      </c>
      <c r="AV21" s="105">
        <v>1644.6</v>
      </c>
      <c r="AW21" s="105">
        <v>0</v>
      </c>
      <c r="AX21" s="99">
        <f t="shared" ref="AX21:AX24" si="68">SUM(AY21:BB21)</f>
        <v>1055.4000000000001</v>
      </c>
      <c r="AY21" s="105">
        <v>0</v>
      </c>
      <c r="AZ21" s="105">
        <v>0</v>
      </c>
      <c r="BA21" s="105">
        <v>1055.4000000000001</v>
      </c>
      <c r="BB21" s="105">
        <v>0</v>
      </c>
    </row>
    <row r="22" spans="1:54" ht="75" outlineLevel="3" x14ac:dyDescent="0.25">
      <c r="A22" s="100" t="s">
        <v>46</v>
      </c>
      <c r="B22" s="101" t="s">
        <v>10</v>
      </c>
      <c r="C22" s="102" t="s">
        <v>10</v>
      </c>
      <c r="D22" s="102" t="s">
        <v>10</v>
      </c>
      <c r="E22" s="103">
        <f t="shared" si="57"/>
        <v>2155.8000000000002</v>
      </c>
      <c r="F22" s="104">
        <f t="shared" si="58"/>
        <v>0</v>
      </c>
      <c r="G22" s="104">
        <f t="shared" si="58"/>
        <v>0</v>
      </c>
      <c r="H22" s="104">
        <f t="shared" si="22"/>
        <v>2155.8000000000002</v>
      </c>
      <c r="I22" s="104">
        <f t="shared" si="59"/>
        <v>0</v>
      </c>
      <c r="J22" s="99">
        <f t="shared" si="60"/>
        <v>94.5</v>
      </c>
      <c r="K22" s="105">
        <v>0</v>
      </c>
      <c r="L22" s="105">
        <v>0</v>
      </c>
      <c r="M22" s="105">
        <v>94.5</v>
      </c>
      <c r="N22" s="105">
        <v>0</v>
      </c>
      <c r="O22" s="99">
        <f t="shared" si="61"/>
        <v>249.1</v>
      </c>
      <c r="P22" s="105">
        <v>0</v>
      </c>
      <c r="Q22" s="105">
        <v>0</v>
      </c>
      <c r="R22" s="105">
        <v>249.1</v>
      </c>
      <c r="S22" s="105">
        <v>0</v>
      </c>
      <c r="T22" s="99">
        <f t="shared" si="62"/>
        <v>130.69999999999999</v>
      </c>
      <c r="U22" s="105">
        <v>0</v>
      </c>
      <c r="V22" s="105">
        <v>0</v>
      </c>
      <c r="W22" s="105">
        <f>166.6-35.9</f>
        <v>130.69999999999999</v>
      </c>
      <c r="X22" s="105">
        <v>0</v>
      </c>
      <c r="Y22" s="99">
        <f t="shared" si="63"/>
        <v>61.9</v>
      </c>
      <c r="Z22" s="105">
        <v>0</v>
      </c>
      <c r="AA22" s="105">
        <v>0</v>
      </c>
      <c r="AB22" s="105">
        <v>61.9</v>
      </c>
      <c r="AC22" s="105">
        <v>0</v>
      </c>
      <c r="AD22" s="99">
        <f t="shared" si="64"/>
        <v>330.8</v>
      </c>
      <c r="AE22" s="105">
        <v>0</v>
      </c>
      <c r="AF22" s="105">
        <v>0</v>
      </c>
      <c r="AG22" s="105">
        <v>330.8</v>
      </c>
      <c r="AH22" s="105">
        <v>0</v>
      </c>
      <c r="AI22" s="99">
        <f t="shared" si="65"/>
        <v>328.2</v>
      </c>
      <c r="AJ22" s="105">
        <v>0</v>
      </c>
      <c r="AK22" s="105">
        <v>0</v>
      </c>
      <c r="AL22" s="105">
        <v>328.2</v>
      </c>
      <c r="AM22" s="105">
        <v>0</v>
      </c>
      <c r="AN22" s="99">
        <f t="shared" si="66"/>
        <v>74.400000000000006</v>
      </c>
      <c r="AO22" s="105">
        <v>0</v>
      </c>
      <c r="AP22" s="105">
        <v>0</v>
      </c>
      <c r="AQ22" s="105">
        <v>74.400000000000006</v>
      </c>
      <c r="AR22" s="105">
        <v>0</v>
      </c>
      <c r="AS22" s="99">
        <f t="shared" si="67"/>
        <v>437.4</v>
      </c>
      <c r="AT22" s="105">
        <v>0</v>
      </c>
      <c r="AU22" s="105">
        <v>0</v>
      </c>
      <c r="AV22" s="105">
        <v>437.4</v>
      </c>
      <c r="AW22" s="105">
        <v>0</v>
      </c>
      <c r="AX22" s="99">
        <f t="shared" si="68"/>
        <v>448.8</v>
      </c>
      <c r="AY22" s="105">
        <v>0</v>
      </c>
      <c r="AZ22" s="105">
        <v>0</v>
      </c>
      <c r="BA22" s="105">
        <v>448.8</v>
      </c>
      <c r="BB22" s="105">
        <v>0</v>
      </c>
    </row>
    <row r="23" spans="1:54" ht="75" outlineLevel="3" x14ac:dyDescent="0.25">
      <c r="A23" s="100" t="s">
        <v>47</v>
      </c>
      <c r="B23" s="101" t="s">
        <v>68</v>
      </c>
      <c r="C23" s="106" t="s">
        <v>68</v>
      </c>
      <c r="D23" s="106" t="s">
        <v>68</v>
      </c>
      <c r="E23" s="103">
        <f t="shared" si="57"/>
        <v>177.9</v>
      </c>
      <c r="F23" s="104">
        <f t="shared" si="58"/>
        <v>0</v>
      </c>
      <c r="G23" s="104">
        <f t="shared" si="58"/>
        <v>0</v>
      </c>
      <c r="H23" s="104">
        <f t="shared" si="22"/>
        <v>177.9</v>
      </c>
      <c r="I23" s="104">
        <f t="shared" si="59"/>
        <v>0</v>
      </c>
      <c r="J23" s="99">
        <f t="shared" si="60"/>
        <v>177.9</v>
      </c>
      <c r="K23" s="105">
        <v>0</v>
      </c>
      <c r="L23" s="105">
        <v>0</v>
      </c>
      <c r="M23" s="105">
        <v>177.9</v>
      </c>
      <c r="N23" s="105">
        <v>0</v>
      </c>
      <c r="O23" s="99">
        <f t="shared" si="61"/>
        <v>0</v>
      </c>
      <c r="P23" s="105">
        <v>0</v>
      </c>
      <c r="Q23" s="105">
        <v>0</v>
      </c>
      <c r="R23" s="105">
        <v>0</v>
      </c>
      <c r="S23" s="105">
        <v>0</v>
      </c>
      <c r="T23" s="99">
        <f t="shared" si="62"/>
        <v>0</v>
      </c>
      <c r="U23" s="105">
        <v>0</v>
      </c>
      <c r="V23" s="105">
        <v>0</v>
      </c>
      <c r="W23" s="105">
        <v>0</v>
      </c>
      <c r="X23" s="105">
        <v>0</v>
      </c>
      <c r="Y23" s="99">
        <f t="shared" si="63"/>
        <v>0</v>
      </c>
      <c r="Z23" s="105">
        <v>0</v>
      </c>
      <c r="AA23" s="105">
        <v>0</v>
      </c>
      <c r="AB23" s="105">
        <v>0</v>
      </c>
      <c r="AC23" s="105">
        <v>0</v>
      </c>
      <c r="AD23" s="99">
        <f t="shared" si="64"/>
        <v>0</v>
      </c>
      <c r="AE23" s="105">
        <v>0</v>
      </c>
      <c r="AF23" s="105">
        <v>0</v>
      </c>
      <c r="AG23" s="105">
        <v>0</v>
      </c>
      <c r="AH23" s="105">
        <v>0</v>
      </c>
      <c r="AI23" s="99">
        <f t="shared" si="65"/>
        <v>0</v>
      </c>
      <c r="AJ23" s="105">
        <v>0</v>
      </c>
      <c r="AK23" s="105">
        <v>0</v>
      </c>
      <c r="AL23" s="105">
        <v>0</v>
      </c>
      <c r="AM23" s="105">
        <v>0</v>
      </c>
      <c r="AN23" s="99">
        <f t="shared" si="66"/>
        <v>0</v>
      </c>
      <c r="AO23" s="105">
        <v>0</v>
      </c>
      <c r="AP23" s="105">
        <v>0</v>
      </c>
      <c r="AQ23" s="105">
        <v>0</v>
      </c>
      <c r="AR23" s="105">
        <v>0</v>
      </c>
      <c r="AS23" s="99">
        <f t="shared" si="67"/>
        <v>0</v>
      </c>
      <c r="AT23" s="105">
        <v>0</v>
      </c>
      <c r="AU23" s="105">
        <v>0</v>
      </c>
      <c r="AV23" s="105">
        <v>0</v>
      </c>
      <c r="AW23" s="105">
        <v>0</v>
      </c>
      <c r="AX23" s="99">
        <f t="shared" si="68"/>
        <v>0</v>
      </c>
      <c r="AY23" s="105">
        <v>0</v>
      </c>
      <c r="AZ23" s="105">
        <v>0</v>
      </c>
      <c r="BA23" s="105">
        <v>0</v>
      </c>
      <c r="BB23" s="105">
        <v>0</v>
      </c>
    </row>
    <row r="24" spans="1:54" ht="93.75" outlineLevel="3" x14ac:dyDescent="0.25">
      <c r="A24" s="100" t="s">
        <v>48</v>
      </c>
      <c r="B24" s="101" t="s">
        <v>67</v>
      </c>
      <c r="C24" s="106" t="s">
        <v>67</v>
      </c>
      <c r="D24" s="106" t="s">
        <v>67</v>
      </c>
      <c r="E24" s="103">
        <f t="shared" si="57"/>
        <v>4163.3</v>
      </c>
      <c r="F24" s="104">
        <f t="shared" si="58"/>
        <v>0</v>
      </c>
      <c r="G24" s="104">
        <f t="shared" si="58"/>
        <v>0</v>
      </c>
      <c r="H24" s="104">
        <f t="shared" si="22"/>
        <v>4163.3</v>
      </c>
      <c r="I24" s="104">
        <f t="shared" si="59"/>
        <v>0</v>
      </c>
      <c r="J24" s="99">
        <f t="shared" si="60"/>
        <v>177.9</v>
      </c>
      <c r="K24" s="105">
        <v>0</v>
      </c>
      <c r="L24" s="105">
        <v>0</v>
      </c>
      <c r="M24" s="105">
        <v>177.9</v>
      </c>
      <c r="N24" s="105">
        <v>0</v>
      </c>
      <c r="O24" s="99">
        <f t="shared" si="61"/>
        <v>779.1</v>
      </c>
      <c r="P24" s="105">
        <v>0</v>
      </c>
      <c r="Q24" s="105">
        <v>0</v>
      </c>
      <c r="R24" s="105">
        <v>779.1</v>
      </c>
      <c r="S24" s="105">
        <v>0</v>
      </c>
      <c r="T24" s="99">
        <f t="shared" si="62"/>
        <v>751.80000000000007</v>
      </c>
      <c r="U24" s="105">
        <v>0</v>
      </c>
      <c r="V24" s="105">
        <v>0</v>
      </c>
      <c r="W24" s="105">
        <f>758.2-6.4</f>
        <v>751.80000000000007</v>
      </c>
      <c r="X24" s="105">
        <v>0</v>
      </c>
      <c r="Y24" s="99">
        <f t="shared" si="63"/>
        <v>15.7</v>
      </c>
      <c r="Z24" s="105">
        <v>0</v>
      </c>
      <c r="AA24" s="105">
        <v>0</v>
      </c>
      <c r="AB24" s="105">
        <v>15.7</v>
      </c>
      <c r="AC24" s="105">
        <v>0</v>
      </c>
      <c r="AD24" s="99">
        <f t="shared" si="64"/>
        <v>187.5</v>
      </c>
      <c r="AE24" s="105">
        <v>0</v>
      </c>
      <c r="AF24" s="105">
        <v>0</v>
      </c>
      <c r="AG24" s="105">
        <v>187.5</v>
      </c>
      <c r="AH24" s="105">
        <v>0</v>
      </c>
      <c r="AI24" s="99">
        <f t="shared" si="65"/>
        <v>301.40000000000009</v>
      </c>
      <c r="AJ24" s="105">
        <v>0</v>
      </c>
      <c r="AK24" s="105">
        <v>0</v>
      </c>
      <c r="AL24" s="105">
        <f>818.7-130-356.9-30.4</f>
        <v>301.40000000000009</v>
      </c>
      <c r="AM24" s="105">
        <v>0</v>
      </c>
      <c r="AN24" s="99">
        <f t="shared" si="66"/>
        <v>379.4</v>
      </c>
      <c r="AO24" s="105">
        <v>0</v>
      </c>
      <c r="AP24" s="105">
        <v>0</v>
      </c>
      <c r="AQ24" s="105">
        <f>761.8-252.9-45.2-84.3</f>
        <v>379.4</v>
      </c>
      <c r="AR24" s="105">
        <v>0</v>
      </c>
      <c r="AS24" s="99">
        <f t="shared" si="67"/>
        <v>779.6</v>
      </c>
      <c r="AT24" s="105">
        <v>0</v>
      </c>
      <c r="AU24" s="105">
        <v>0</v>
      </c>
      <c r="AV24" s="105">
        <v>779.6</v>
      </c>
      <c r="AW24" s="105">
        <v>0</v>
      </c>
      <c r="AX24" s="99">
        <f t="shared" si="68"/>
        <v>790.9</v>
      </c>
      <c r="AY24" s="105">
        <v>0</v>
      </c>
      <c r="AZ24" s="105">
        <v>0</v>
      </c>
      <c r="BA24" s="105">
        <v>790.9</v>
      </c>
      <c r="BB24" s="105">
        <v>0</v>
      </c>
    </row>
    <row r="25" spans="1:54" s="92" customFormat="1" ht="36.75" customHeight="1" outlineLevel="2" x14ac:dyDescent="0.25">
      <c r="A25" s="97" t="s">
        <v>59</v>
      </c>
      <c r="B25" s="178" t="s">
        <v>93</v>
      </c>
      <c r="C25" s="178"/>
      <c r="D25" s="178"/>
      <c r="E25" s="99">
        <f>SUM(E26:E29)</f>
        <v>138838.30000000002</v>
      </c>
      <c r="F25" s="99">
        <f t="shared" ref="F25:W25" si="69">SUM(F26:F29)</f>
        <v>0</v>
      </c>
      <c r="G25" s="99">
        <f t="shared" si="69"/>
        <v>0</v>
      </c>
      <c r="H25" s="99">
        <f t="shared" si="69"/>
        <v>138838.30000000002</v>
      </c>
      <c r="I25" s="99">
        <f t="shared" si="69"/>
        <v>0</v>
      </c>
      <c r="J25" s="99">
        <f t="shared" si="69"/>
        <v>15157.7</v>
      </c>
      <c r="K25" s="99">
        <f t="shared" si="69"/>
        <v>0</v>
      </c>
      <c r="L25" s="99">
        <f t="shared" si="69"/>
        <v>0</v>
      </c>
      <c r="M25" s="99">
        <f t="shared" si="69"/>
        <v>15157.7</v>
      </c>
      <c r="N25" s="99">
        <f t="shared" si="69"/>
        <v>0</v>
      </c>
      <c r="O25" s="99">
        <f t="shared" si="69"/>
        <v>14275.900000000001</v>
      </c>
      <c r="P25" s="99">
        <f t="shared" si="69"/>
        <v>0</v>
      </c>
      <c r="Q25" s="99">
        <f t="shared" si="69"/>
        <v>0</v>
      </c>
      <c r="R25" s="99">
        <f t="shared" si="69"/>
        <v>14275.900000000001</v>
      </c>
      <c r="S25" s="99">
        <f t="shared" si="69"/>
        <v>0</v>
      </c>
      <c r="T25" s="99">
        <f t="shared" si="69"/>
        <v>15208.900000000001</v>
      </c>
      <c r="U25" s="99">
        <f t="shared" si="69"/>
        <v>0</v>
      </c>
      <c r="V25" s="99">
        <f t="shared" si="69"/>
        <v>0</v>
      </c>
      <c r="W25" s="99">
        <f t="shared" si="69"/>
        <v>15208.900000000001</v>
      </c>
      <c r="X25" s="99">
        <f t="shared" ref="X25" si="70">SUM(X26:X28)</f>
        <v>0</v>
      </c>
      <c r="Y25" s="99">
        <f t="shared" ref="Y25:AB25" si="71">SUM(Y26:Y29)</f>
        <v>15380.3</v>
      </c>
      <c r="Z25" s="99">
        <f t="shared" si="71"/>
        <v>0</v>
      </c>
      <c r="AA25" s="99">
        <f t="shared" si="71"/>
        <v>0</v>
      </c>
      <c r="AB25" s="99">
        <f t="shared" si="71"/>
        <v>15380.3</v>
      </c>
      <c r="AC25" s="99">
        <f t="shared" ref="AC25" si="72">SUM(AC26:AC28)</f>
        <v>0</v>
      </c>
      <c r="AD25" s="99">
        <f t="shared" ref="AD25:AG25" si="73">SUM(AD26:AD29)</f>
        <v>15787.100000000002</v>
      </c>
      <c r="AE25" s="99">
        <f t="shared" si="73"/>
        <v>0</v>
      </c>
      <c r="AF25" s="99">
        <f t="shared" si="73"/>
        <v>0</v>
      </c>
      <c r="AG25" s="99">
        <f t="shared" si="73"/>
        <v>15787.100000000002</v>
      </c>
      <c r="AH25" s="99">
        <f t="shared" ref="AH25" si="74">SUM(AH26:AH28)</f>
        <v>0</v>
      </c>
      <c r="AI25" s="99">
        <f t="shared" ref="AI25:AL25" si="75">SUM(AI26:AI29)</f>
        <v>15864.7</v>
      </c>
      <c r="AJ25" s="99">
        <f t="shared" si="75"/>
        <v>0</v>
      </c>
      <c r="AK25" s="99">
        <f t="shared" si="75"/>
        <v>0</v>
      </c>
      <c r="AL25" s="99">
        <f t="shared" si="75"/>
        <v>15864.7</v>
      </c>
      <c r="AM25" s="99">
        <f t="shared" ref="AM25" si="76">SUM(AM26:AM28)</f>
        <v>0</v>
      </c>
      <c r="AN25" s="99">
        <f t="shared" ref="AN25:AQ25" si="77">SUM(AN26:AN29)</f>
        <v>15809.2</v>
      </c>
      <c r="AO25" s="99">
        <f t="shared" si="77"/>
        <v>0</v>
      </c>
      <c r="AP25" s="99">
        <f t="shared" si="77"/>
        <v>0</v>
      </c>
      <c r="AQ25" s="99">
        <f t="shared" si="77"/>
        <v>15809.2</v>
      </c>
      <c r="AR25" s="99">
        <f t="shared" ref="AR25" si="78">SUM(AR26:AR28)</f>
        <v>0</v>
      </c>
      <c r="AS25" s="99">
        <f t="shared" ref="AS25:AV25" si="79">SUM(AS26:AS29)</f>
        <v>15659.999999999998</v>
      </c>
      <c r="AT25" s="99">
        <f t="shared" si="79"/>
        <v>0</v>
      </c>
      <c r="AU25" s="99">
        <f t="shared" si="79"/>
        <v>0</v>
      </c>
      <c r="AV25" s="99">
        <f t="shared" si="79"/>
        <v>15659.999999999998</v>
      </c>
      <c r="AW25" s="99">
        <f t="shared" ref="AW25" si="80">SUM(AW26:AW28)</f>
        <v>0</v>
      </c>
      <c r="AX25" s="99">
        <f t="shared" ref="AX25:AZ25" si="81">SUM(AX26:AX29)</f>
        <v>15694.499999999998</v>
      </c>
      <c r="AY25" s="99">
        <f t="shared" si="81"/>
        <v>0</v>
      </c>
      <c r="AZ25" s="99">
        <f t="shared" si="81"/>
        <v>0</v>
      </c>
      <c r="BA25" s="99">
        <f>SUM(BA26:BA29)</f>
        <v>15694.499999999998</v>
      </c>
      <c r="BB25" s="99">
        <f t="shared" ref="BB25" si="82">SUM(BB26:BB28)</f>
        <v>0</v>
      </c>
    </row>
    <row r="26" spans="1:54" ht="131.25" outlineLevel="3" x14ac:dyDescent="0.25">
      <c r="A26" s="100" t="s">
        <v>61</v>
      </c>
      <c r="B26" s="107" t="s">
        <v>352</v>
      </c>
      <c r="C26" s="102" t="s">
        <v>66</v>
      </c>
      <c r="D26" s="102" t="s">
        <v>66</v>
      </c>
      <c r="E26" s="103">
        <f t="shared" ref="E26:E29" si="83">SUM(F26:I26)</f>
        <v>24025.299999999996</v>
      </c>
      <c r="F26" s="104">
        <f t="shared" ref="F26:G28" si="84">K26+P26+U26</f>
        <v>0</v>
      </c>
      <c r="G26" s="104">
        <f t="shared" si="84"/>
        <v>0</v>
      </c>
      <c r="H26" s="104">
        <f t="shared" si="22"/>
        <v>24025.299999999996</v>
      </c>
      <c r="I26" s="104">
        <f t="shared" ref="I26:I28" si="85">N26+S26+X26</f>
        <v>0</v>
      </c>
      <c r="J26" s="99">
        <f t="shared" ref="J26:J29" si="86">SUM(K26:N26)</f>
        <v>2069.8000000000002</v>
      </c>
      <c r="K26" s="105">
        <v>0</v>
      </c>
      <c r="L26" s="105">
        <v>0</v>
      </c>
      <c r="M26" s="105">
        <v>2069.8000000000002</v>
      </c>
      <c r="N26" s="105">
        <v>0</v>
      </c>
      <c r="O26" s="99">
        <f t="shared" ref="O26:O29" si="87">SUM(P26:S26)</f>
        <v>2292.6000000000004</v>
      </c>
      <c r="P26" s="105">
        <v>0</v>
      </c>
      <c r="Q26" s="105">
        <v>0</v>
      </c>
      <c r="R26" s="105">
        <f>2069.8+222.8</f>
        <v>2292.6000000000004</v>
      </c>
      <c r="S26" s="105">
        <v>0</v>
      </c>
      <c r="T26" s="99">
        <f t="shared" ref="T26:T29" si="88">SUM(U26:X26)</f>
        <v>3012.8</v>
      </c>
      <c r="U26" s="105">
        <v>0</v>
      </c>
      <c r="V26" s="105">
        <v>0</v>
      </c>
      <c r="W26" s="105">
        <f>2069.8+891.2+51.8</f>
        <v>3012.8</v>
      </c>
      <c r="X26" s="105">
        <v>0</v>
      </c>
      <c r="Y26" s="99">
        <f t="shared" ref="Y26:Y29" si="89">SUM(Z26:AC26)</f>
        <v>3085.3</v>
      </c>
      <c r="Z26" s="105">
        <v>0</v>
      </c>
      <c r="AA26" s="105">
        <v>0</v>
      </c>
      <c r="AB26" s="105">
        <f>2069.8+891.2+124.3</f>
        <v>3085.3</v>
      </c>
      <c r="AC26" s="105">
        <v>0</v>
      </c>
      <c r="AD26" s="99">
        <f t="shared" ref="AD26:AD29" si="90">SUM(AE26:AH26)</f>
        <v>3085.3</v>
      </c>
      <c r="AE26" s="105">
        <v>0</v>
      </c>
      <c r="AF26" s="105">
        <v>0</v>
      </c>
      <c r="AG26" s="105">
        <f>2961+124.3</f>
        <v>3085.3</v>
      </c>
      <c r="AH26" s="105">
        <v>0</v>
      </c>
      <c r="AI26" s="99">
        <f t="shared" ref="AI26:AI29" si="91">SUM(AJ26:AM26)</f>
        <v>3085.3</v>
      </c>
      <c r="AJ26" s="105">
        <v>0</v>
      </c>
      <c r="AK26" s="105">
        <v>0</v>
      </c>
      <c r="AL26" s="105">
        <f>2961+124.3</f>
        <v>3085.3</v>
      </c>
      <c r="AM26" s="105">
        <v>0</v>
      </c>
      <c r="AN26" s="99">
        <f t="shared" ref="AN26:AN29" si="92">SUM(AO26:AR26)</f>
        <v>2843.6000000000004</v>
      </c>
      <c r="AO26" s="105">
        <v>0</v>
      </c>
      <c r="AP26" s="105">
        <v>0</v>
      </c>
      <c r="AQ26" s="105">
        <f>2961+124.3+84.9-326.6</f>
        <v>2843.6000000000004</v>
      </c>
      <c r="AR26" s="105">
        <v>0</v>
      </c>
      <c r="AS26" s="99">
        <f t="shared" ref="AS26:AS29" si="93">SUM(AT26:AW26)</f>
        <v>2275.3000000000002</v>
      </c>
      <c r="AT26" s="105">
        <v>0</v>
      </c>
      <c r="AU26" s="105">
        <v>0</v>
      </c>
      <c r="AV26" s="105">
        <f>2961+124.3+169.7-979.7</f>
        <v>2275.3000000000002</v>
      </c>
      <c r="AW26" s="105">
        <v>0</v>
      </c>
      <c r="AX26" s="99">
        <f t="shared" ref="AX26:AX29" si="94">SUM(AY26:BB26)</f>
        <v>2275.3000000000002</v>
      </c>
      <c r="AY26" s="105">
        <v>0</v>
      </c>
      <c r="AZ26" s="105">
        <v>0</v>
      </c>
      <c r="BA26" s="105">
        <f>2961+124.3+169.7-979.7</f>
        <v>2275.3000000000002</v>
      </c>
      <c r="BB26" s="105">
        <v>0</v>
      </c>
    </row>
    <row r="27" spans="1:54" ht="124.5" customHeight="1" outlineLevel="3" x14ac:dyDescent="0.25">
      <c r="A27" s="100" t="s">
        <v>62</v>
      </c>
      <c r="B27" s="101" t="s">
        <v>354</v>
      </c>
      <c r="C27" s="102" t="s">
        <v>66</v>
      </c>
      <c r="D27" s="102" t="s">
        <v>66</v>
      </c>
      <c r="E27" s="103">
        <f t="shared" si="83"/>
        <v>101805.50000000001</v>
      </c>
      <c r="F27" s="104">
        <f t="shared" si="84"/>
        <v>0</v>
      </c>
      <c r="G27" s="104">
        <f t="shared" si="84"/>
        <v>0</v>
      </c>
      <c r="H27" s="104">
        <f t="shared" si="22"/>
        <v>101805.50000000001</v>
      </c>
      <c r="I27" s="104">
        <f t="shared" si="85"/>
        <v>0</v>
      </c>
      <c r="J27" s="99">
        <f t="shared" si="86"/>
        <v>10271.9</v>
      </c>
      <c r="K27" s="105">
        <v>0</v>
      </c>
      <c r="L27" s="105">
        <v>0</v>
      </c>
      <c r="M27" s="105">
        <v>10271.9</v>
      </c>
      <c r="N27" s="105">
        <v>0</v>
      </c>
      <c r="O27" s="99">
        <f t="shared" si="87"/>
        <v>10333.1</v>
      </c>
      <c r="P27" s="105">
        <v>0</v>
      </c>
      <c r="Q27" s="105">
        <v>0</v>
      </c>
      <c r="R27" s="105">
        <v>10333.1</v>
      </c>
      <c r="S27" s="105">
        <v>0</v>
      </c>
      <c r="T27" s="99">
        <f t="shared" si="88"/>
        <v>10400.6</v>
      </c>
      <c r="U27" s="105">
        <v>0</v>
      </c>
      <c r="V27" s="105">
        <v>0</v>
      </c>
      <c r="W27" s="105">
        <f>10333.1+10.1+57.4</f>
        <v>10400.6</v>
      </c>
      <c r="X27" s="105">
        <v>0</v>
      </c>
      <c r="Y27" s="99">
        <f t="shared" si="89"/>
        <v>11318</v>
      </c>
      <c r="Z27" s="105">
        <v>0</v>
      </c>
      <c r="AA27" s="105">
        <v>0</v>
      </c>
      <c r="AB27" s="105">
        <v>11318</v>
      </c>
      <c r="AC27" s="105">
        <v>0</v>
      </c>
      <c r="AD27" s="99">
        <f t="shared" si="90"/>
        <v>11741.800000000001</v>
      </c>
      <c r="AE27" s="105">
        <v>0</v>
      </c>
      <c r="AF27" s="105">
        <v>0</v>
      </c>
      <c r="AG27" s="105">
        <f>11486.1+255.7</f>
        <v>11741.800000000001</v>
      </c>
      <c r="AH27" s="105">
        <v>0</v>
      </c>
      <c r="AI27" s="99">
        <f t="shared" si="91"/>
        <v>11729.4</v>
      </c>
      <c r="AJ27" s="105">
        <v>0</v>
      </c>
      <c r="AK27" s="105">
        <v>0</v>
      </c>
      <c r="AL27" s="105">
        <f>12211.4-332.6-149.4</f>
        <v>11729.4</v>
      </c>
      <c r="AM27" s="105">
        <v>0</v>
      </c>
      <c r="AN27" s="99">
        <f t="shared" si="92"/>
        <v>11793.1</v>
      </c>
      <c r="AO27" s="105">
        <v>0</v>
      </c>
      <c r="AP27" s="105">
        <v>0</v>
      </c>
      <c r="AQ27" s="105">
        <f>11477.5+315.6</f>
        <v>11793.1</v>
      </c>
      <c r="AR27" s="105">
        <v>0</v>
      </c>
      <c r="AS27" s="99">
        <f t="shared" si="93"/>
        <v>12108.8</v>
      </c>
      <c r="AT27" s="105">
        <v>0</v>
      </c>
      <c r="AU27" s="105">
        <v>0</v>
      </c>
      <c r="AV27" s="105">
        <f>11477.5+631.3</f>
        <v>12108.8</v>
      </c>
      <c r="AW27" s="105">
        <v>0</v>
      </c>
      <c r="AX27" s="99">
        <f t="shared" si="94"/>
        <v>12108.8</v>
      </c>
      <c r="AY27" s="105">
        <v>0</v>
      </c>
      <c r="AZ27" s="105">
        <v>0</v>
      </c>
      <c r="BA27" s="105">
        <f>11477.5+631.3</f>
        <v>12108.8</v>
      </c>
      <c r="BB27" s="105">
        <v>0</v>
      </c>
    </row>
    <row r="28" spans="1:54" ht="93.75" outlineLevel="3" x14ac:dyDescent="0.25">
      <c r="A28" s="100" t="s">
        <v>63</v>
      </c>
      <c r="B28" s="101" t="s">
        <v>64</v>
      </c>
      <c r="C28" s="102" t="s">
        <v>66</v>
      </c>
      <c r="D28" s="102" t="s">
        <v>66</v>
      </c>
      <c r="E28" s="103">
        <f t="shared" si="83"/>
        <v>2709.9</v>
      </c>
      <c r="F28" s="104">
        <f t="shared" si="84"/>
        <v>0</v>
      </c>
      <c r="G28" s="104">
        <f t="shared" si="84"/>
        <v>0</v>
      </c>
      <c r="H28" s="104">
        <f t="shared" si="22"/>
        <v>2709.9</v>
      </c>
      <c r="I28" s="104">
        <f t="shared" si="85"/>
        <v>0</v>
      </c>
      <c r="J28" s="99">
        <f t="shared" si="86"/>
        <v>885</v>
      </c>
      <c r="K28" s="105">
        <v>0</v>
      </c>
      <c r="L28" s="105">
        <v>0</v>
      </c>
      <c r="M28" s="105">
        <v>885</v>
      </c>
      <c r="N28" s="105">
        <v>0</v>
      </c>
      <c r="O28" s="99">
        <f t="shared" si="87"/>
        <v>834.1</v>
      </c>
      <c r="P28" s="105">
        <v>0</v>
      </c>
      <c r="Q28" s="105">
        <v>0</v>
      </c>
      <c r="R28" s="105">
        <f>804.6+29.5</f>
        <v>834.1</v>
      </c>
      <c r="S28" s="105">
        <v>0</v>
      </c>
      <c r="T28" s="99">
        <f t="shared" si="88"/>
        <v>875.9</v>
      </c>
      <c r="U28" s="105">
        <v>0</v>
      </c>
      <c r="V28" s="105">
        <v>0</v>
      </c>
      <c r="W28" s="105">
        <f>820.4+55.5</f>
        <v>875.9</v>
      </c>
      <c r="X28" s="105">
        <v>0</v>
      </c>
      <c r="Y28" s="99">
        <f t="shared" si="89"/>
        <v>114.9</v>
      </c>
      <c r="Z28" s="105">
        <v>0</v>
      </c>
      <c r="AA28" s="105">
        <v>0</v>
      </c>
      <c r="AB28" s="105">
        <v>114.9</v>
      </c>
      <c r="AC28" s="105">
        <v>0</v>
      </c>
      <c r="AD28" s="99">
        <f t="shared" si="90"/>
        <v>0</v>
      </c>
      <c r="AE28" s="105">
        <v>0</v>
      </c>
      <c r="AF28" s="105">
        <v>0</v>
      </c>
      <c r="AG28" s="105">
        <v>0</v>
      </c>
      <c r="AH28" s="105">
        <v>0</v>
      </c>
      <c r="AI28" s="99">
        <f t="shared" si="91"/>
        <v>0</v>
      </c>
      <c r="AJ28" s="105">
        <v>0</v>
      </c>
      <c r="AK28" s="105">
        <v>0</v>
      </c>
      <c r="AL28" s="105">
        <v>0</v>
      </c>
      <c r="AM28" s="105">
        <v>0</v>
      </c>
      <c r="AN28" s="99">
        <f t="shared" si="92"/>
        <v>0</v>
      </c>
      <c r="AO28" s="105">
        <v>0</v>
      </c>
      <c r="AP28" s="105">
        <v>0</v>
      </c>
      <c r="AQ28" s="105">
        <v>0</v>
      </c>
      <c r="AR28" s="105">
        <v>0</v>
      </c>
      <c r="AS28" s="99">
        <f t="shared" si="93"/>
        <v>0</v>
      </c>
      <c r="AT28" s="105">
        <v>0</v>
      </c>
      <c r="AU28" s="105">
        <v>0</v>
      </c>
      <c r="AV28" s="105">
        <v>0</v>
      </c>
      <c r="AW28" s="105">
        <v>0</v>
      </c>
      <c r="AX28" s="99">
        <f t="shared" si="94"/>
        <v>0</v>
      </c>
      <c r="AY28" s="105">
        <v>0</v>
      </c>
      <c r="AZ28" s="105">
        <v>0</v>
      </c>
      <c r="BA28" s="105">
        <v>0</v>
      </c>
      <c r="BB28" s="105">
        <v>0</v>
      </c>
    </row>
    <row r="29" spans="1:54" ht="150" outlineLevel="3" x14ac:dyDescent="0.3">
      <c r="A29" s="100" t="s">
        <v>92</v>
      </c>
      <c r="B29" s="108" t="s">
        <v>91</v>
      </c>
      <c r="C29" s="102" t="s">
        <v>66</v>
      </c>
      <c r="D29" s="102" t="s">
        <v>66</v>
      </c>
      <c r="E29" s="103">
        <f t="shared" si="83"/>
        <v>10297.6</v>
      </c>
      <c r="F29" s="104"/>
      <c r="G29" s="104"/>
      <c r="H29" s="104">
        <f t="shared" si="22"/>
        <v>10297.6</v>
      </c>
      <c r="I29" s="104"/>
      <c r="J29" s="99">
        <f t="shared" si="86"/>
        <v>1931</v>
      </c>
      <c r="K29" s="105">
        <v>0</v>
      </c>
      <c r="L29" s="105">
        <v>0</v>
      </c>
      <c r="M29" s="105">
        <v>1931</v>
      </c>
      <c r="N29" s="105">
        <v>0</v>
      </c>
      <c r="O29" s="99">
        <f t="shared" si="87"/>
        <v>816.1</v>
      </c>
      <c r="P29" s="105">
        <v>0</v>
      </c>
      <c r="Q29" s="105">
        <v>0</v>
      </c>
      <c r="R29" s="105">
        <v>816.1</v>
      </c>
      <c r="S29" s="105">
        <v>0</v>
      </c>
      <c r="T29" s="99">
        <f t="shared" si="88"/>
        <v>919.6</v>
      </c>
      <c r="U29" s="105">
        <v>0</v>
      </c>
      <c r="V29" s="105">
        <v>0</v>
      </c>
      <c r="W29" s="105">
        <v>919.6</v>
      </c>
      <c r="X29" s="105">
        <v>0</v>
      </c>
      <c r="Y29" s="99">
        <f t="shared" si="89"/>
        <v>862.1</v>
      </c>
      <c r="Z29" s="105">
        <v>0</v>
      </c>
      <c r="AA29" s="105">
        <v>0</v>
      </c>
      <c r="AB29" s="105">
        <v>862.1</v>
      </c>
      <c r="AC29" s="105">
        <v>0</v>
      </c>
      <c r="AD29" s="99">
        <f t="shared" si="90"/>
        <v>960</v>
      </c>
      <c r="AE29" s="105">
        <v>0</v>
      </c>
      <c r="AF29" s="105">
        <v>0</v>
      </c>
      <c r="AG29" s="105">
        <v>960</v>
      </c>
      <c r="AH29" s="105">
        <v>0</v>
      </c>
      <c r="AI29" s="99">
        <f t="shared" si="91"/>
        <v>1050</v>
      </c>
      <c r="AJ29" s="105">
        <v>0</v>
      </c>
      <c r="AK29" s="105">
        <v>0</v>
      </c>
      <c r="AL29" s="105">
        <v>1050</v>
      </c>
      <c r="AM29" s="105">
        <v>0</v>
      </c>
      <c r="AN29" s="99">
        <f t="shared" si="92"/>
        <v>1172.5</v>
      </c>
      <c r="AO29" s="105">
        <v>0</v>
      </c>
      <c r="AP29" s="105">
        <v>0</v>
      </c>
      <c r="AQ29" s="105">
        <v>1172.5</v>
      </c>
      <c r="AR29" s="105">
        <v>0</v>
      </c>
      <c r="AS29" s="99">
        <f t="shared" si="93"/>
        <v>1275.9000000000001</v>
      </c>
      <c r="AT29" s="105">
        <v>0</v>
      </c>
      <c r="AU29" s="105">
        <v>0</v>
      </c>
      <c r="AV29" s="105">
        <v>1275.9000000000001</v>
      </c>
      <c r="AW29" s="105">
        <v>0</v>
      </c>
      <c r="AX29" s="99">
        <f t="shared" si="94"/>
        <v>1310.4000000000001</v>
      </c>
      <c r="AY29" s="105">
        <v>0</v>
      </c>
      <c r="AZ29" s="105">
        <v>0</v>
      </c>
      <c r="BA29" s="105">
        <v>1310.4000000000001</v>
      </c>
      <c r="BB29" s="105">
        <v>0</v>
      </c>
    </row>
    <row r="30" spans="1:54" s="98" customFormat="1" outlineLevel="1" x14ac:dyDescent="0.25">
      <c r="A30" s="97">
        <v>2</v>
      </c>
      <c r="B30" s="186" t="s">
        <v>37</v>
      </c>
      <c r="C30" s="186"/>
      <c r="D30" s="186"/>
      <c r="E30" s="99">
        <f t="shared" ref="E30:AJ30" si="95">E31+E42+E89</f>
        <v>70674.000000000029</v>
      </c>
      <c r="F30" s="99">
        <f t="shared" si="95"/>
        <v>0</v>
      </c>
      <c r="G30" s="99">
        <f t="shared" si="95"/>
        <v>0</v>
      </c>
      <c r="H30" s="99">
        <f t="shared" si="95"/>
        <v>70674.000000000029</v>
      </c>
      <c r="I30" s="99">
        <f t="shared" si="95"/>
        <v>0</v>
      </c>
      <c r="J30" s="99">
        <f t="shared" si="95"/>
        <v>14976.8</v>
      </c>
      <c r="K30" s="99">
        <f t="shared" si="95"/>
        <v>0</v>
      </c>
      <c r="L30" s="99">
        <f t="shared" si="95"/>
        <v>0</v>
      </c>
      <c r="M30" s="99">
        <f t="shared" si="95"/>
        <v>14976.8</v>
      </c>
      <c r="N30" s="99">
        <f t="shared" si="95"/>
        <v>0</v>
      </c>
      <c r="O30" s="99">
        <f t="shared" si="95"/>
        <v>13914.800000000001</v>
      </c>
      <c r="P30" s="99">
        <f t="shared" si="95"/>
        <v>0</v>
      </c>
      <c r="Q30" s="99">
        <f t="shared" si="95"/>
        <v>0</v>
      </c>
      <c r="R30" s="99">
        <f t="shared" si="95"/>
        <v>13914.800000000001</v>
      </c>
      <c r="S30" s="99">
        <f t="shared" si="95"/>
        <v>0</v>
      </c>
      <c r="T30" s="99">
        <f t="shared" si="95"/>
        <v>5103.8</v>
      </c>
      <c r="U30" s="99">
        <f t="shared" si="95"/>
        <v>0</v>
      </c>
      <c r="V30" s="99">
        <f t="shared" si="95"/>
        <v>0</v>
      </c>
      <c r="W30" s="99">
        <f t="shared" si="95"/>
        <v>5103.8</v>
      </c>
      <c r="X30" s="99">
        <f t="shared" si="95"/>
        <v>0</v>
      </c>
      <c r="Y30" s="99">
        <f t="shared" si="95"/>
        <v>3866.5</v>
      </c>
      <c r="Z30" s="99">
        <f t="shared" si="95"/>
        <v>0</v>
      </c>
      <c r="AA30" s="99">
        <f t="shared" si="95"/>
        <v>0</v>
      </c>
      <c r="AB30" s="99">
        <f t="shared" si="95"/>
        <v>3866.5</v>
      </c>
      <c r="AC30" s="99">
        <f t="shared" si="95"/>
        <v>0</v>
      </c>
      <c r="AD30" s="99">
        <f t="shared" si="95"/>
        <v>32812.1</v>
      </c>
      <c r="AE30" s="99">
        <f t="shared" si="95"/>
        <v>0</v>
      </c>
      <c r="AF30" s="99">
        <f t="shared" si="95"/>
        <v>0</v>
      </c>
      <c r="AG30" s="99">
        <f t="shared" si="95"/>
        <v>32812.1</v>
      </c>
      <c r="AH30" s="99">
        <f t="shared" si="95"/>
        <v>0</v>
      </c>
      <c r="AI30" s="99">
        <f t="shared" si="95"/>
        <v>0</v>
      </c>
      <c r="AJ30" s="99">
        <f t="shared" si="95"/>
        <v>0</v>
      </c>
      <c r="AK30" s="99">
        <f t="shared" ref="AK30:BB30" si="96">AK31+AK42+AK89</f>
        <v>0</v>
      </c>
      <c r="AL30" s="99">
        <f t="shared" si="96"/>
        <v>0</v>
      </c>
      <c r="AM30" s="99">
        <f t="shared" si="96"/>
        <v>0</v>
      </c>
      <c r="AN30" s="99">
        <f t="shared" si="96"/>
        <v>0</v>
      </c>
      <c r="AO30" s="99">
        <f t="shared" si="96"/>
        <v>0</v>
      </c>
      <c r="AP30" s="99">
        <f t="shared" si="96"/>
        <v>0</v>
      </c>
      <c r="AQ30" s="99">
        <f t="shared" si="96"/>
        <v>0</v>
      </c>
      <c r="AR30" s="99">
        <f t="shared" si="96"/>
        <v>0</v>
      </c>
      <c r="AS30" s="99">
        <f t="shared" si="96"/>
        <v>0</v>
      </c>
      <c r="AT30" s="99">
        <f t="shared" si="96"/>
        <v>0</v>
      </c>
      <c r="AU30" s="99">
        <f t="shared" si="96"/>
        <v>0</v>
      </c>
      <c r="AV30" s="99">
        <f t="shared" si="96"/>
        <v>0</v>
      </c>
      <c r="AW30" s="99">
        <f t="shared" si="96"/>
        <v>0</v>
      </c>
      <c r="AX30" s="99">
        <f t="shared" si="96"/>
        <v>0</v>
      </c>
      <c r="AY30" s="99">
        <f t="shared" si="96"/>
        <v>0</v>
      </c>
      <c r="AZ30" s="99">
        <f t="shared" si="96"/>
        <v>0</v>
      </c>
      <c r="BA30" s="99">
        <f t="shared" si="96"/>
        <v>0</v>
      </c>
      <c r="BB30" s="99">
        <f t="shared" si="96"/>
        <v>0</v>
      </c>
    </row>
    <row r="31" spans="1:54" outlineLevel="3" x14ac:dyDescent="0.25">
      <c r="A31" s="97" t="s">
        <v>49</v>
      </c>
      <c r="B31" s="178" t="s">
        <v>149</v>
      </c>
      <c r="C31" s="178"/>
      <c r="D31" s="178"/>
      <c r="E31" s="99">
        <f>SUM(E32:E41)</f>
        <v>38201.000000000015</v>
      </c>
      <c r="F31" s="99">
        <f t="shared" ref="F31:BB31" si="97">SUM(F32:F41)</f>
        <v>0</v>
      </c>
      <c r="G31" s="99">
        <f t="shared" si="97"/>
        <v>0</v>
      </c>
      <c r="H31" s="99">
        <f t="shared" si="97"/>
        <v>38201.000000000015</v>
      </c>
      <c r="I31" s="99">
        <f t="shared" si="97"/>
        <v>0</v>
      </c>
      <c r="J31" s="99">
        <f t="shared" si="97"/>
        <v>14976.8</v>
      </c>
      <c r="K31" s="99">
        <f t="shared" si="97"/>
        <v>0</v>
      </c>
      <c r="L31" s="99">
        <f t="shared" si="97"/>
        <v>0</v>
      </c>
      <c r="M31" s="99">
        <f t="shared" si="97"/>
        <v>14976.8</v>
      </c>
      <c r="N31" s="99">
        <f t="shared" si="97"/>
        <v>0</v>
      </c>
      <c r="O31" s="99">
        <f t="shared" si="97"/>
        <v>12773.900000000001</v>
      </c>
      <c r="P31" s="99">
        <f t="shared" si="97"/>
        <v>0</v>
      </c>
      <c r="Q31" s="99">
        <f t="shared" si="97"/>
        <v>0</v>
      </c>
      <c r="R31" s="99">
        <f t="shared" si="97"/>
        <v>12773.900000000001</v>
      </c>
      <c r="S31" s="99">
        <f t="shared" si="97"/>
        <v>0</v>
      </c>
      <c r="T31" s="99">
        <f t="shared" si="97"/>
        <v>1451.8</v>
      </c>
      <c r="U31" s="99">
        <f t="shared" si="97"/>
        <v>0</v>
      </c>
      <c r="V31" s="99">
        <f t="shared" si="97"/>
        <v>0</v>
      </c>
      <c r="W31" s="99">
        <f t="shared" si="97"/>
        <v>1451.8</v>
      </c>
      <c r="X31" s="99">
        <f t="shared" si="97"/>
        <v>0</v>
      </c>
      <c r="Y31" s="99">
        <f t="shared" si="97"/>
        <v>1346.1999999999998</v>
      </c>
      <c r="Z31" s="99">
        <f t="shared" si="97"/>
        <v>0</v>
      </c>
      <c r="AA31" s="99">
        <f t="shared" si="97"/>
        <v>0</v>
      </c>
      <c r="AB31" s="99">
        <f t="shared" si="97"/>
        <v>1346.1999999999998</v>
      </c>
      <c r="AC31" s="99">
        <f t="shared" si="97"/>
        <v>0</v>
      </c>
      <c r="AD31" s="99">
        <f t="shared" si="97"/>
        <v>7652.2999999999993</v>
      </c>
      <c r="AE31" s="99">
        <f t="shared" si="97"/>
        <v>0</v>
      </c>
      <c r="AF31" s="99">
        <f t="shared" si="97"/>
        <v>0</v>
      </c>
      <c r="AG31" s="99">
        <f t="shared" si="97"/>
        <v>7652.2999999999993</v>
      </c>
      <c r="AH31" s="99">
        <f t="shared" si="97"/>
        <v>0</v>
      </c>
      <c r="AI31" s="99">
        <f t="shared" si="97"/>
        <v>0</v>
      </c>
      <c r="AJ31" s="99">
        <f t="shared" si="97"/>
        <v>0</v>
      </c>
      <c r="AK31" s="99">
        <f t="shared" si="97"/>
        <v>0</v>
      </c>
      <c r="AL31" s="99">
        <f t="shared" si="97"/>
        <v>0</v>
      </c>
      <c r="AM31" s="99">
        <f t="shared" si="97"/>
        <v>0</v>
      </c>
      <c r="AN31" s="99">
        <f t="shared" si="97"/>
        <v>0</v>
      </c>
      <c r="AO31" s="99">
        <f t="shared" si="97"/>
        <v>0</v>
      </c>
      <c r="AP31" s="99">
        <f t="shared" si="97"/>
        <v>0</v>
      </c>
      <c r="AQ31" s="99">
        <f t="shared" si="97"/>
        <v>0</v>
      </c>
      <c r="AR31" s="99">
        <f t="shared" si="97"/>
        <v>0</v>
      </c>
      <c r="AS31" s="99">
        <f t="shared" si="97"/>
        <v>0</v>
      </c>
      <c r="AT31" s="99">
        <f t="shared" si="97"/>
        <v>0</v>
      </c>
      <c r="AU31" s="99">
        <f t="shared" si="97"/>
        <v>0</v>
      </c>
      <c r="AV31" s="99">
        <f t="shared" si="97"/>
        <v>0</v>
      </c>
      <c r="AW31" s="99">
        <f t="shared" si="97"/>
        <v>0</v>
      </c>
      <c r="AX31" s="99">
        <f t="shared" si="97"/>
        <v>0</v>
      </c>
      <c r="AY31" s="99">
        <f t="shared" si="97"/>
        <v>0</v>
      </c>
      <c r="AZ31" s="99">
        <f t="shared" si="97"/>
        <v>0</v>
      </c>
      <c r="BA31" s="99">
        <f t="shared" si="97"/>
        <v>0</v>
      </c>
      <c r="BB31" s="99">
        <f t="shared" si="97"/>
        <v>0</v>
      </c>
    </row>
    <row r="32" spans="1:54" ht="93.75" outlineLevel="3" x14ac:dyDescent="0.25">
      <c r="A32" s="100" t="s">
        <v>94</v>
      </c>
      <c r="B32" s="101" t="s">
        <v>162</v>
      </c>
      <c r="C32" s="102" t="s">
        <v>10</v>
      </c>
      <c r="D32" s="102" t="s">
        <v>10</v>
      </c>
      <c r="E32" s="103">
        <f>H32</f>
        <v>2289.3000000000002</v>
      </c>
      <c r="F32" s="104">
        <f t="shared" ref="F32:F34" si="98">K32+P32+U32</f>
        <v>0</v>
      </c>
      <c r="G32" s="104">
        <f t="shared" ref="G32:G34" si="99">L32+Q32+V32</f>
        <v>0</v>
      </c>
      <c r="H32" s="104">
        <f t="shared" ref="H32:H40" si="100">M32+R32+W32+AB32+AG32+AL32+AQ32+AV32+BA32</f>
        <v>2289.3000000000002</v>
      </c>
      <c r="I32" s="104">
        <f t="shared" ref="I32:I34" si="101">N32+S32+X32</f>
        <v>0</v>
      </c>
      <c r="J32" s="99">
        <f t="shared" ref="J32:J33" si="102">SUM(K32:N32)</f>
        <v>707</v>
      </c>
      <c r="K32" s="105">
        <v>0</v>
      </c>
      <c r="L32" s="105">
        <v>0</v>
      </c>
      <c r="M32" s="105">
        <f>1030-23-300</f>
        <v>707</v>
      </c>
      <c r="N32" s="105">
        <v>0</v>
      </c>
      <c r="O32" s="99">
        <f>R32</f>
        <v>410.8</v>
      </c>
      <c r="P32" s="105">
        <v>0</v>
      </c>
      <c r="Q32" s="105">
        <v>0</v>
      </c>
      <c r="R32" s="105">
        <v>410.8</v>
      </c>
      <c r="S32" s="105">
        <v>0</v>
      </c>
      <c r="T32" s="99">
        <f>W32</f>
        <v>331.5</v>
      </c>
      <c r="U32" s="105">
        <v>0</v>
      </c>
      <c r="V32" s="105">
        <v>0</v>
      </c>
      <c r="W32" s="105">
        <v>331.5</v>
      </c>
      <c r="X32" s="105">
        <v>0</v>
      </c>
      <c r="Y32" s="99">
        <f>AB32</f>
        <v>270</v>
      </c>
      <c r="Z32" s="105">
        <v>0</v>
      </c>
      <c r="AA32" s="105">
        <v>0</v>
      </c>
      <c r="AB32" s="105">
        <v>270</v>
      </c>
      <c r="AC32" s="105">
        <v>0</v>
      </c>
      <c r="AD32" s="99">
        <f>AG32</f>
        <v>570.00000000000011</v>
      </c>
      <c r="AE32" s="105">
        <v>0</v>
      </c>
      <c r="AF32" s="105">
        <v>0</v>
      </c>
      <c r="AG32" s="105">
        <f>270+870.9-570.9</f>
        <v>570.00000000000011</v>
      </c>
      <c r="AH32" s="105">
        <v>0</v>
      </c>
      <c r="AI32" s="99">
        <v>0</v>
      </c>
      <c r="AJ32" s="105">
        <v>0</v>
      </c>
      <c r="AK32" s="105">
        <v>0</v>
      </c>
      <c r="AL32" s="105">
        <v>0</v>
      </c>
      <c r="AM32" s="105">
        <v>0</v>
      </c>
      <c r="AN32" s="99">
        <v>0</v>
      </c>
      <c r="AO32" s="105">
        <v>0</v>
      </c>
      <c r="AP32" s="105">
        <v>0</v>
      </c>
      <c r="AQ32" s="105">
        <v>0</v>
      </c>
      <c r="AR32" s="105">
        <v>0</v>
      </c>
      <c r="AS32" s="99">
        <v>0</v>
      </c>
      <c r="AT32" s="105">
        <v>0</v>
      </c>
      <c r="AU32" s="105">
        <v>0</v>
      </c>
      <c r="AV32" s="105">
        <v>0</v>
      </c>
      <c r="AW32" s="105">
        <v>0</v>
      </c>
      <c r="AX32" s="99">
        <v>0</v>
      </c>
      <c r="AY32" s="105">
        <v>0</v>
      </c>
      <c r="AZ32" s="105">
        <v>0</v>
      </c>
      <c r="BA32" s="105">
        <v>0</v>
      </c>
      <c r="BB32" s="105">
        <v>0</v>
      </c>
    </row>
    <row r="33" spans="1:57" ht="75" outlineLevel="3" x14ac:dyDescent="0.25">
      <c r="A33" s="100" t="s">
        <v>95</v>
      </c>
      <c r="B33" s="101" t="s">
        <v>96</v>
      </c>
      <c r="C33" s="102" t="s">
        <v>10</v>
      </c>
      <c r="D33" s="102" t="s">
        <v>10</v>
      </c>
      <c r="E33" s="103">
        <f>H33</f>
        <v>507</v>
      </c>
      <c r="F33" s="104">
        <f t="shared" si="98"/>
        <v>0</v>
      </c>
      <c r="G33" s="104">
        <f t="shared" si="99"/>
        <v>0</v>
      </c>
      <c r="H33" s="104">
        <f t="shared" si="100"/>
        <v>507</v>
      </c>
      <c r="I33" s="104">
        <f t="shared" si="101"/>
        <v>0</v>
      </c>
      <c r="J33" s="99">
        <f t="shared" si="102"/>
        <v>80</v>
      </c>
      <c r="K33" s="105">
        <v>0</v>
      </c>
      <c r="L33" s="105">
        <v>0</v>
      </c>
      <c r="M33" s="105">
        <v>80</v>
      </c>
      <c r="N33" s="105">
        <v>0</v>
      </c>
      <c r="O33" s="99">
        <f>R33</f>
        <v>127</v>
      </c>
      <c r="P33" s="105">
        <v>0</v>
      </c>
      <c r="Q33" s="105">
        <v>0</v>
      </c>
      <c r="R33" s="105">
        <v>127</v>
      </c>
      <c r="S33" s="105">
        <v>0</v>
      </c>
      <c r="T33" s="99">
        <f>W33</f>
        <v>100</v>
      </c>
      <c r="U33" s="105">
        <v>0</v>
      </c>
      <c r="V33" s="105">
        <v>0</v>
      </c>
      <c r="W33" s="105">
        <v>100</v>
      </c>
      <c r="X33" s="105">
        <v>0</v>
      </c>
      <c r="Y33" s="99">
        <f>AB33</f>
        <v>100</v>
      </c>
      <c r="Z33" s="105">
        <v>0</v>
      </c>
      <c r="AA33" s="105">
        <v>0</v>
      </c>
      <c r="AB33" s="105">
        <v>100</v>
      </c>
      <c r="AC33" s="105">
        <v>0</v>
      </c>
      <c r="AD33" s="99">
        <f>AG33</f>
        <v>100</v>
      </c>
      <c r="AE33" s="105">
        <v>0</v>
      </c>
      <c r="AF33" s="105">
        <v>0</v>
      </c>
      <c r="AG33" s="105">
        <v>100</v>
      </c>
      <c r="AH33" s="105">
        <v>0</v>
      </c>
      <c r="AI33" s="99">
        <f>AL33</f>
        <v>0</v>
      </c>
      <c r="AJ33" s="105">
        <v>0</v>
      </c>
      <c r="AK33" s="105">
        <v>0</v>
      </c>
      <c r="AL33" s="105">
        <v>0</v>
      </c>
      <c r="AM33" s="105">
        <v>0</v>
      </c>
      <c r="AN33" s="99">
        <f>AQ33</f>
        <v>0</v>
      </c>
      <c r="AO33" s="105">
        <v>0</v>
      </c>
      <c r="AP33" s="105">
        <v>0</v>
      </c>
      <c r="AQ33" s="105">
        <v>0</v>
      </c>
      <c r="AR33" s="105">
        <v>0</v>
      </c>
      <c r="AS33" s="99">
        <f>AV33</f>
        <v>0</v>
      </c>
      <c r="AT33" s="105">
        <v>0</v>
      </c>
      <c r="AU33" s="105">
        <v>0</v>
      </c>
      <c r="AV33" s="105">
        <v>0</v>
      </c>
      <c r="AW33" s="105">
        <v>0</v>
      </c>
      <c r="AX33" s="99">
        <f>BA33</f>
        <v>0</v>
      </c>
      <c r="AY33" s="105">
        <v>0</v>
      </c>
      <c r="AZ33" s="105">
        <v>0</v>
      </c>
      <c r="BA33" s="105">
        <v>0</v>
      </c>
      <c r="BB33" s="105">
        <v>0</v>
      </c>
    </row>
    <row r="34" spans="1:57" ht="75" outlineLevel="3" x14ac:dyDescent="0.25">
      <c r="A34" s="100" t="s">
        <v>97</v>
      </c>
      <c r="B34" s="101" t="s">
        <v>425</v>
      </c>
      <c r="C34" s="102" t="s">
        <v>10</v>
      </c>
      <c r="D34" s="102" t="s">
        <v>10</v>
      </c>
      <c r="E34" s="103">
        <f>H34</f>
        <v>23</v>
      </c>
      <c r="F34" s="104">
        <f t="shared" si="98"/>
        <v>0</v>
      </c>
      <c r="G34" s="104">
        <f t="shared" si="99"/>
        <v>0</v>
      </c>
      <c r="H34" s="104">
        <f t="shared" si="100"/>
        <v>23</v>
      </c>
      <c r="I34" s="104">
        <f t="shared" si="101"/>
        <v>0</v>
      </c>
      <c r="J34" s="99">
        <f>M34</f>
        <v>23</v>
      </c>
      <c r="K34" s="105">
        <v>0</v>
      </c>
      <c r="L34" s="105">
        <v>0</v>
      </c>
      <c r="M34" s="105">
        <v>23</v>
      </c>
      <c r="N34" s="105">
        <v>0</v>
      </c>
      <c r="O34" s="99">
        <f>R34</f>
        <v>0</v>
      </c>
      <c r="P34" s="105">
        <v>0</v>
      </c>
      <c r="Q34" s="105">
        <v>0</v>
      </c>
      <c r="R34" s="105">
        <v>0</v>
      </c>
      <c r="S34" s="105">
        <v>0</v>
      </c>
      <c r="T34" s="109">
        <f>W34</f>
        <v>0</v>
      </c>
      <c r="U34" s="105">
        <v>0</v>
      </c>
      <c r="V34" s="105">
        <v>0</v>
      </c>
      <c r="W34" s="110">
        <v>0</v>
      </c>
      <c r="X34" s="105">
        <v>0</v>
      </c>
      <c r="Y34" s="109">
        <f>AB34</f>
        <v>0</v>
      </c>
      <c r="Z34" s="105">
        <v>0</v>
      </c>
      <c r="AA34" s="105">
        <v>0</v>
      </c>
      <c r="AB34" s="110">
        <v>0</v>
      </c>
      <c r="AC34" s="105">
        <v>0</v>
      </c>
      <c r="AD34" s="109">
        <f>AG34</f>
        <v>0</v>
      </c>
      <c r="AE34" s="105">
        <v>0</v>
      </c>
      <c r="AF34" s="105">
        <v>0</v>
      </c>
      <c r="AG34" s="110">
        <v>0</v>
      </c>
      <c r="AH34" s="105">
        <v>0</v>
      </c>
      <c r="AI34" s="109">
        <f>AL34</f>
        <v>0</v>
      </c>
      <c r="AJ34" s="105">
        <v>0</v>
      </c>
      <c r="AK34" s="105">
        <v>0</v>
      </c>
      <c r="AL34" s="110">
        <v>0</v>
      </c>
      <c r="AM34" s="105">
        <v>0</v>
      </c>
      <c r="AN34" s="109">
        <f>AQ34</f>
        <v>0</v>
      </c>
      <c r="AO34" s="105">
        <v>0</v>
      </c>
      <c r="AP34" s="105">
        <v>0</v>
      </c>
      <c r="AQ34" s="110">
        <v>0</v>
      </c>
      <c r="AR34" s="105">
        <v>0</v>
      </c>
      <c r="AS34" s="109">
        <f>AV34</f>
        <v>0</v>
      </c>
      <c r="AT34" s="105">
        <v>0</v>
      </c>
      <c r="AU34" s="105">
        <v>0</v>
      </c>
      <c r="AV34" s="110">
        <v>0</v>
      </c>
      <c r="AW34" s="105">
        <v>0</v>
      </c>
      <c r="AX34" s="109">
        <f>BA34</f>
        <v>0</v>
      </c>
      <c r="AY34" s="105">
        <v>0</v>
      </c>
      <c r="AZ34" s="105">
        <v>0</v>
      </c>
      <c r="BA34" s="110">
        <v>0</v>
      </c>
      <c r="BB34" s="105">
        <v>0</v>
      </c>
    </row>
    <row r="35" spans="1:57" ht="131.25" outlineLevel="3" x14ac:dyDescent="0.25">
      <c r="A35" s="100" t="s">
        <v>98</v>
      </c>
      <c r="B35" s="101" t="s">
        <v>20</v>
      </c>
      <c r="C35" s="102" t="s">
        <v>10</v>
      </c>
      <c r="D35" s="102" t="s">
        <v>10</v>
      </c>
      <c r="E35" s="103">
        <f t="shared" ref="E35" si="103">SUM(F35:I35)</f>
        <v>239.60000000000002</v>
      </c>
      <c r="F35" s="104">
        <f t="shared" ref="F35:G38" si="104">K35+P35+U35</f>
        <v>0</v>
      </c>
      <c r="G35" s="104">
        <f t="shared" si="104"/>
        <v>0</v>
      </c>
      <c r="H35" s="104">
        <f t="shared" si="100"/>
        <v>239.60000000000002</v>
      </c>
      <c r="I35" s="104">
        <f>N35+S35+X35</f>
        <v>0</v>
      </c>
      <c r="J35" s="99">
        <f t="shared" ref="J35:J37" si="105">SUM(K35:N35)</f>
        <v>43.800000000000004</v>
      </c>
      <c r="K35" s="105">
        <v>0</v>
      </c>
      <c r="L35" s="105">
        <v>0</v>
      </c>
      <c r="M35" s="111">
        <f>40.2+3.6</f>
        <v>43.800000000000004</v>
      </c>
      <c r="N35" s="105">
        <v>0</v>
      </c>
      <c r="O35" s="99">
        <f t="shared" ref="O35" si="106">SUM(P35:S35)</f>
        <v>46</v>
      </c>
      <c r="P35" s="105">
        <v>0</v>
      </c>
      <c r="Q35" s="105">
        <v>0</v>
      </c>
      <c r="R35" s="112">
        <v>46</v>
      </c>
      <c r="S35" s="105">
        <v>0</v>
      </c>
      <c r="T35" s="109">
        <f t="shared" ref="T35:T38" si="107">SUM(U35:X35)</f>
        <v>48</v>
      </c>
      <c r="U35" s="105">
        <v>0</v>
      </c>
      <c r="V35" s="105">
        <v>0</v>
      </c>
      <c r="W35" s="110">
        <v>48</v>
      </c>
      <c r="X35" s="105">
        <v>0</v>
      </c>
      <c r="Y35" s="109">
        <f t="shared" ref="Y35" si="108">SUM(Z35:AC35)</f>
        <v>49.9</v>
      </c>
      <c r="Z35" s="105">
        <v>0</v>
      </c>
      <c r="AA35" s="105">
        <v>0</v>
      </c>
      <c r="AB35" s="110">
        <v>49.9</v>
      </c>
      <c r="AC35" s="105">
        <v>0</v>
      </c>
      <c r="AD35" s="109">
        <f t="shared" ref="AD35" si="109">SUM(AE35:AH35)</f>
        <v>51.9</v>
      </c>
      <c r="AE35" s="105">
        <v>0</v>
      </c>
      <c r="AF35" s="105">
        <v>0</v>
      </c>
      <c r="AG35" s="110">
        <v>51.9</v>
      </c>
      <c r="AH35" s="105">
        <v>0</v>
      </c>
      <c r="AI35" s="109">
        <f t="shared" ref="AI35" si="110">SUM(AJ35:AM35)</f>
        <v>0</v>
      </c>
      <c r="AJ35" s="105">
        <v>0</v>
      </c>
      <c r="AK35" s="105">
        <v>0</v>
      </c>
      <c r="AL35" s="110">
        <v>0</v>
      </c>
      <c r="AM35" s="105">
        <v>0</v>
      </c>
      <c r="AN35" s="109">
        <f t="shared" ref="AN35:AN37" si="111">SUM(AO35:AR35)</f>
        <v>0</v>
      </c>
      <c r="AO35" s="105">
        <v>0</v>
      </c>
      <c r="AP35" s="105">
        <v>0</v>
      </c>
      <c r="AQ35" s="110">
        <v>0</v>
      </c>
      <c r="AR35" s="105">
        <v>0</v>
      </c>
      <c r="AS35" s="109">
        <f t="shared" ref="AS35:AS37" si="112">SUM(AT35:AW35)</f>
        <v>0</v>
      </c>
      <c r="AT35" s="105">
        <v>0</v>
      </c>
      <c r="AU35" s="105">
        <v>0</v>
      </c>
      <c r="AV35" s="110">
        <v>0</v>
      </c>
      <c r="AW35" s="105">
        <v>0</v>
      </c>
      <c r="AX35" s="109">
        <f t="shared" ref="AX35:AX37" si="113">SUM(AY35:BB35)</f>
        <v>0</v>
      </c>
      <c r="AY35" s="105">
        <v>0</v>
      </c>
      <c r="AZ35" s="105">
        <v>0</v>
      </c>
      <c r="BA35" s="110">
        <v>0</v>
      </c>
      <c r="BB35" s="105">
        <v>0</v>
      </c>
    </row>
    <row r="36" spans="1:57" ht="75" outlineLevel="3" x14ac:dyDescent="0.25">
      <c r="A36" s="184" t="s">
        <v>99</v>
      </c>
      <c r="B36" s="187" t="s">
        <v>163</v>
      </c>
      <c r="C36" s="102" t="s">
        <v>10</v>
      </c>
      <c r="D36" s="102" t="s">
        <v>10</v>
      </c>
      <c r="E36" s="103">
        <f>SUM(F36:I36)</f>
        <v>11705.900000000001</v>
      </c>
      <c r="F36" s="104">
        <f t="shared" si="104"/>
        <v>0</v>
      </c>
      <c r="G36" s="104">
        <f t="shared" si="104"/>
        <v>0</v>
      </c>
      <c r="H36" s="104">
        <f t="shared" si="100"/>
        <v>11705.900000000001</v>
      </c>
      <c r="I36" s="104">
        <f t="shared" ref="I36:I38" si="114">N36+S36+X36</f>
        <v>0</v>
      </c>
      <c r="J36" s="99">
        <f t="shared" si="105"/>
        <v>11252.7</v>
      </c>
      <c r="K36" s="105">
        <v>0</v>
      </c>
      <c r="L36" s="105">
        <v>0</v>
      </c>
      <c r="M36" s="105">
        <f>7327.9+3624.8+300</f>
        <v>11252.7</v>
      </c>
      <c r="N36" s="105">
        <v>0</v>
      </c>
      <c r="O36" s="99">
        <f t="shared" ref="O36" si="115">SUM(P36:S36)</f>
        <v>453.2</v>
      </c>
      <c r="P36" s="105">
        <v>0</v>
      </c>
      <c r="Q36" s="105">
        <v>0</v>
      </c>
      <c r="R36" s="105">
        <v>453.2</v>
      </c>
      <c r="S36" s="105">
        <v>0</v>
      </c>
      <c r="T36" s="109">
        <f t="shared" si="107"/>
        <v>0</v>
      </c>
      <c r="U36" s="105">
        <v>0</v>
      </c>
      <c r="V36" s="105">
        <v>0</v>
      </c>
      <c r="W36" s="105">
        <f>240.9-240.9</f>
        <v>0</v>
      </c>
      <c r="X36" s="105">
        <v>0</v>
      </c>
      <c r="Y36" s="99">
        <f>SUM(Z36:AC36)</f>
        <v>0</v>
      </c>
      <c r="Z36" s="105">
        <v>0</v>
      </c>
      <c r="AA36" s="105">
        <v>0</v>
      </c>
      <c r="AB36" s="105">
        <v>0</v>
      </c>
      <c r="AC36" s="105">
        <v>0</v>
      </c>
      <c r="AD36" s="99">
        <f t="shared" ref="AD36" si="116">SUM(AE36:AH36)</f>
        <v>0</v>
      </c>
      <c r="AE36" s="105">
        <v>0</v>
      </c>
      <c r="AF36" s="105">
        <v>0</v>
      </c>
      <c r="AG36" s="105">
        <v>0</v>
      </c>
      <c r="AH36" s="105">
        <v>0</v>
      </c>
      <c r="AI36" s="99">
        <f t="shared" ref="AI36" si="117">SUM(AJ36:AM36)</f>
        <v>0</v>
      </c>
      <c r="AJ36" s="105">
        <v>0</v>
      </c>
      <c r="AK36" s="105">
        <v>0</v>
      </c>
      <c r="AL36" s="105">
        <v>0</v>
      </c>
      <c r="AM36" s="105">
        <v>0</v>
      </c>
      <c r="AN36" s="99">
        <f t="shared" si="111"/>
        <v>0</v>
      </c>
      <c r="AO36" s="105">
        <v>0</v>
      </c>
      <c r="AP36" s="105">
        <v>0</v>
      </c>
      <c r="AQ36" s="105">
        <v>0</v>
      </c>
      <c r="AR36" s="105">
        <v>0</v>
      </c>
      <c r="AS36" s="99">
        <f t="shared" si="112"/>
        <v>0</v>
      </c>
      <c r="AT36" s="105">
        <v>0</v>
      </c>
      <c r="AU36" s="105">
        <v>0</v>
      </c>
      <c r="AV36" s="105">
        <v>0</v>
      </c>
      <c r="AW36" s="105">
        <v>0</v>
      </c>
      <c r="AX36" s="99">
        <f t="shared" si="113"/>
        <v>0</v>
      </c>
      <c r="AY36" s="105">
        <v>0</v>
      </c>
      <c r="AZ36" s="105">
        <v>0</v>
      </c>
      <c r="BA36" s="105">
        <v>0</v>
      </c>
      <c r="BB36" s="105">
        <v>0</v>
      </c>
    </row>
    <row r="37" spans="1:57" ht="75" outlineLevel="3" x14ac:dyDescent="0.25">
      <c r="A37" s="185"/>
      <c r="B37" s="189"/>
      <c r="C37" s="102" t="s">
        <v>10</v>
      </c>
      <c r="D37" s="102" t="s">
        <v>6</v>
      </c>
      <c r="E37" s="103">
        <f>SUM(F37:I37)</f>
        <v>19942.400000000001</v>
      </c>
      <c r="F37" s="104">
        <f t="shared" si="104"/>
        <v>0</v>
      </c>
      <c r="G37" s="104">
        <f t="shared" si="104"/>
        <v>0</v>
      </c>
      <c r="H37" s="104">
        <f t="shared" si="100"/>
        <v>19942.400000000001</v>
      </c>
      <c r="I37" s="104">
        <f t="shared" si="114"/>
        <v>0</v>
      </c>
      <c r="J37" s="99">
        <f t="shared" si="105"/>
        <v>0</v>
      </c>
      <c r="K37" s="105">
        <v>0</v>
      </c>
      <c r="L37" s="105">
        <v>0</v>
      </c>
      <c r="M37" s="105">
        <v>0</v>
      </c>
      <c r="N37" s="105">
        <v>0</v>
      </c>
      <c r="O37" s="99">
        <f t="shared" ref="O37" si="118">SUM(P37:S37)</f>
        <v>11736.900000000001</v>
      </c>
      <c r="P37" s="105">
        <v>0</v>
      </c>
      <c r="Q37" s="105">
        <v>0</v>
      </c>
      <c r="R37" s="105">
        <f>10982.7+754.2</f>
        <v>11736.900000000001</v>
      </c>
      <c r="S37" s="105">
        <v>0</v>
      </c>
      <c r="T37" s="109">
        <f t="shared" si="107"/>
        <v>972.3</v>
      </c>
      <c r="U37" s="105">
        <v>0</v>
      </c>
      <c r="V37" s="105">
        <v>0</v>
      </c>
      <c r="W37" s="105">
        <v>972.3</v>
      </c>
      <c r="X37" s="105">
        <v>0</v>
      </c>
      <c r="Y37" s="99">
        <f>SUM(Z37:AC37)</f>
        <v>437.7</v>
      </c>
      <c r="Z37" s="113"/>
      <c r="AA37" s="113"/>
      <c r="AB37" s="113">
        <v>437.7</v>
      </c>
      <c r="AC37" s="105">
        <v>0</v>
      </c>
      <c r="AD37" s="99">
        <f t="shared" ref="AD37" si="119">SUM(AE37:AH37)</f>
        <v>6795.5</v>
      </c>
      <c r="AE37" s="105">
        <v>0</v>
      </c>
      <c r="AF37" s="105">
        <v>0</v>
      </c>
      <c r="AG37" s="105">
        <f>1960.3+2787.3+1756.2+135.8+155.9</f>
        <v>6795.5</v>
      </c>
      <c r="AH37" s="105">
        <v>0</v>
      </c>
      <c r="AI37" s="99">
        <f t="shared" ref="AI37" si="120">SUM(AJ37:AM37)</f>
        <v>0</v>
      </c>
      <c r="AJ37" s="105">
        <v>0</v>
      </c>
      <c r="AK37" s="105">
        <v>0</v>
      </c>
      <c r="AL37" s="105">
        <v>0</v>
      </c>
      <c r="AM37" s="105">
        <v>0</v>
      </c>
      <c r="AN37" s="99">
        <f t="shared" si="111"/>
        <v>0</v>
      </c>
      <c r="AO37" s="105">
        <v>0</v>
      </c>
      <c r="AP37" s="105">
        <v>0</v>
      </c>
      <c r="AQ37" s="105">
        <v>0</v>
      </c>
      <c r="AR37" s="105">
        <v>0</v>
      </c>
      <c r="AS37" s="99">
        <f t="shared" si="112"/>
        <v>0</v>
      </c>
      <c r="AT37" s="105">
        <v>0</v>
      </c>
      <c r="AU37" s="105">
        <v>0</v>
      </c>
      <c r="AV37" s="105">
        <v>0</v>
      </c>
      <c r="AW37" s="105">
        <v>0</v>
      </c>
      <c r="AX37" s="99">
        <f t="shared" si="113"/>
        <v>0</v>
      </c>
      <c r="AY37" s="105">
        <v>0</v>
      </c>
      <c r="AZ37" s="105">
        <v>0</v>
      </c>
      <c r="BA37" s="105">
        <v>0</v>
      </c>
      <c r="BB37" s="105">
        <v>0</v>
      </c>
    </row>
    <row r="38" spans="1:57" ht="131.25" outlineLevel="3" x14ac:dyDescent="0.25">
      <c r="A38" s="100" t="s">
        <v>326</v>
      </c>
      <c r="B38" s="101" t="s">
        <v>87</v>
      </c>
      <c r="C38" s="106" t="s">
        <v>102</v>
      </c>
      <c r="D38" s="106" t="s">
        <v>6</v>
      </c>
      <c r="E38" s="103">
        <f>SUM(F38:I38)</f>
        <v>2870.2999999999997</v>
      </c>
      <c r="F38" s="104">
        <f t="shared" si="104"/>
        <v>0</v>
      </c>
      <c r="G38" s="104">
        <f t="shared" si="104"/>
        <v>0</v>
      </c>
      <c r="H38" s="104">
        <f t="shared" si="100"/>
        <v>2870.2999999999997</v>
      </c>
      <c r="I38" s="104">
        <f t="shared" si="114"/>
        <v>0</v>
      </c>
      <c r="J38" s="99">
        <f>M38</f>
        <v>2870.2999999999997</v>
      </c>
      <c r="K38" s="105">
        <v>0</v>
      </c>
      <c r="L38" s="105">
        <v>0</v>
      </c>
      <c r="M38" s="105">
        <f>909.4+368.2+111.6+1481.1</f>
        <v>2870.2999999999997</v>
      </c>
      <c r="N38" s="105">
        <v>0</v>
      </c>
      <c r="O38" s="99">
        <v>0</v>
      </c>
      <c r="P38" s="105">
        <v>0</v>
      </c>
      <c r="Q38" s="105">
        <v>0</v>
      </c>
      <c r="R38" s="105">
        <v>0</v>
      </c>
      <c r="S38" s="105">
        <v>0</v>
      </c>
      <c r="T38" s="109">
        <f t="shared" si="107"/>
        <v>0</v>
      </c>
      <c r="U38" s="105">
        <v>0</v>
      </c>
      <c r="V38" s="105">
        <v>0</v>
      </c>
      <c r="W38" s="105">
        <v>0</v>
      </c>
      <c r="X38" s="105">
        <v>0</v>
      </c>
      <c r="Y38" s="99">
        <v>0</v>
      </c>
      <c r="Z38" s="105">
        <v>0</v>
      </c>
      <c r="AA38" s="105">
        <v>0</v>
      </c>
      <c r="AB38" s="105">
        <v>0</v>
      </c>
      <c r="AC38" s="105">
        <v>0</v>
      </c>
      <c r="AD38" s="99">
        <v>0</v>
      </c>
      <c r="AE38" s="105">
        <v>0</v>
      </c>
      <c r="AF38" s="105">
        <v>0</v>
      </c>
      <c r="AG38" s="105">
        <v>0</v>
      </c>
      <c r="AH38" s="105">
        <v>0</v>
      </c>
      <c r="AI38" s="99">
        <v>0</v>
      </c>
      <c r="AJ38" s="105">
        <v>0</v>
      </c>
      <c r="AK38" s="105">
        <v>0</v>
      </c>
      <c r="AL38" s="105">
        <v>0</v>
      </c>
      <c r="AM38" s="105">
        <v>0</v>
      </c>
      <c r="AN38" s="99">
        <v>0</v>
      </c>
      <c r="AO38" s="105">
        <v>0</v>
      </c>
      <c r="AP38" s="105">
        <v>0</v>
      </c>
      <c r="AQ38" s="105">
        <v>0</v>
      </c>
      <c r="AR38" s="105">
        <v>0</v>
      </c>
      <c r="AS38" s="99">
        <v>0</v>
      </c>
      <c r="AT38" s="105">
        <v>0</v>
      </c>
      <c r="AU38" s="105">
        <v>0</v>
      </c>
      <c r="AV38" s="105">
        <v>0</v>
      </c>
      <c r="AW38" s="105">
        <v>0</v>
      </c>
      <c r="AX38" s="99">
        <v>0</v>
      </c>
      <c r="AY38" s="105">
        <v>0</v>
      </c>
      <c r="AZ38" s="105">
        <v>0</v>
      </c>
      <c r="BA38" s="105">
        <v>0</v>
      </c>
      <c r="BB38" s="105">
        <v>0</v>
      </c>
    </row>
    <row r="39" spans="1:57" ht="75" outlineLevel="3" x14ac:dyDescent="0.25">
      <c r="A39" s="184" t="s">
        <v>426</v>
      </c>
      <c r="B39" s="187" t="s">
        <v>364</v>
      </c>
      <c r="C39" s="190" t="s">
        <v>430</v>
      </c>
      <c r="D39" s="102" t="s">
        <v>10</v>
      </c>
      <c r="E39" s="103">
        <f t="shared" ref="E39:E40" si="121">SUM(F39:I39)</f>
        <v>115.80000000000001</v>
      </c>
      <c r="F39" s="104">
        <f t="shared" ref="F39:F40" si="122">K39+P39+U39</f>
        <v>0</v>
      </c>
      <c r="G39" s="104">
        <f t="shared" ref="G39:G40" si="123">L39+Q39+V39</f>
        <v>0</v>
      </c>
      <c r="H39" s="104">
        <f t="shared" si="100"/>
        <v>115.80000000000001</v>
      </c>
      <c r="I39" s="104">
        <f t="shared" ref="I39:I40" si="124">N39+S39+X39</f>
        <v>0</v>
      </c>
      <c r="J39" s="99">
        <f t="shared" ref="J39:J40" si="125">M39</f>
        <v>0</v>
      </c>
      <c r="K39" s="105">
        <v>0</v>
      </c>
      <c r="L39" s="105">
        <v>0</v>
      </c>
      <c r="M39" s="105">
        <v>0</v>
      </c>
      <c r="N39" s="105">
        <v>0</v>
      </c>
      <c r="O39" s="99">
        <v>0</v>
      </c>
      <c r="P39" s="105">
        <v>0</v>
      </c>
      <c r="Q39" s="105">
        <v>0</v>
      </c>
      <c r="R39" s="105">
        <v>0</v>
      </c>
      <c r="S39" s="105">
        <v>0</v>
      </c>
      <c r="T39" s="109">
        <f t="shared" ref="T39:T40" si="126">SUM(U39:X39)</f>
        <v>0</v>
      </c>
      <c r="U39" s="105">
        <v>0</v>
      </c>
      <c r="V39" s="105">
        <v>0</v>
      </c>
      <c r="W39" s="105">
        <v>0</v>
      </c>
      <c r="X39" s="105"/>
      <c r="Y39" s="99">
        <f>AB39</f>
        <v>112.9</v>
      </c>
      <c r="Z39" s="105"/>
      <c r="AA39" s="105"/>
      <c r="AB39" s="105">
        <v>112.9</v>
      </c>
      <c r="AC39" s="105"/>
      <c r="AD39" s="99">
        <f>AG39</f>
        <v>2.9</v>
      </c>
      <c r="AE39" s="105">
        <v>0</v>
      </c>
      <c r="AF39" s="105">
        <v>0</v>
      </c>
      <c r="AG39" s="105">
        <f>2+0.9</f>
        <v>2.9</v>
      </c>
      <c r="AH39" s="105">
        <v>0</v>
      </c>
      <c r="AI39" s="99">
        <v>0</v>
      </c>
      <c r="AJ39" s="105">
        <v>0</v>
      </c>
      <c r="AK39" s="105">
        <v>0</v>
      </c>
      <c r="AL39" s="105">
        <v>0</v>
      </c>
      <c r="AM39" s="105"/>
      <c r="AN39" s="99">
        <v>0</v>
      </c>
      <c r="AO39" s="105">
        <v>0</v>
      </c>
      <c r="AP39" s="105">
        <v>0</v>
      </c>
      <c r="AQ39" s="105">
        <v>0</v>
      </c>
      <c r="AR39" s="105"/>
      <c r="AS39" s="99">
        <v>0</v>
      </c>
      <c r="AT39" s="105">
        <v>0</v>
      </c>
      <c r="AU39" s="105">
        <v>0</v>
      </c>
      <c r="AV39" s="105">
        <v>0</v>
      </c>
      <c r="AW39" s="105"/>
      <c r="AX39" s="99">
        <v>0</v>
      </c>
      <c r="AY39" s="105">
        <v>0</v>
      </c>
      <c r="AZ39" s="105">
        <v>0</v>
      </c>
      <c r="BA39" s="105">
        <v>0</v>
      </c>
      <c r="BB39" s="105"/>
    </row>
    <row r="40" spans="1:57" ht="37.5" outlineLevel="3" x14ac:dyDescent="0.25">
      <c r="A40" s="185"/>
      <c r="B40" s="188"/>
      <c r="C40" s="191"/>
      <c r="D40" s="102" t="s">
        <v>6</v>
      </c>
      <c r="E40" s="103">
        <f t="shared" si="121"/>
        <v>506.4</v>
      </c>
      <c r="F40" s="104">
        <f t="shared" si="122"/>
        <v>0</v>
      </c>
      <c r="G40" s="104">
        <f t="shared" si="123"/>
        <v>0</v>
      </c>
      <c r="H40" s="104">
        <f t="shared" si="100"/>
        <v>506.4</v>
      </c>
      <c r="I40" s="104">
        <f t="shared" si="124"/>
        <v>0</v>
      </c>
      <c r="J40" s="99">
        <f t="shared" si="125"/>
        <v>0</v>
      </c>
      <c r="K40" s="105">
        <v>0</v>
      </c>
      <c r="L40" s="105">
        <v>0</v>
      </c>
      <c r="M40" s="105">
        <v>0</v>
      </c>
      <c r="N40" s="105">
        <v>0</v>
      </c>
      <c r="O40" s="99">
        <v>0</v>
      </c>
      <c r="P40" s="105">
        <v>0</v>
      </c>
      <c r="Q40" s="105">
        <v>0</v>
      </c>
      <c r="R40" s="105">
        <v>0</v>
      </c>
      <c r="S40" s="105">
        <v>0</v>
      </c>
      <c r="T40" s="109">
        <f t="shared" si="126"/>
        <v>0</v>
      </c>
      <c r="U40" s="105">
        <v>0</v>
      </c>
      <c r="V40" s="105">
        <v>0</v>
      </c>
      <c r="W40" s="105">
        <v>0</v>
      </c>
      <c r="X40" s="105"/>
      <c r="Y40" s="99">
        <f>AB40</f>
        <v>375.7</v>
      </c>
      <c r="Z40" s="105">
        <v>0</v>
      </c>
      <c r="AA40" s="105">
        <v>0</v>
      </c>
      <c r="AB40" s="105">
        <v>375.7</v>
      </c>
      <c r="AC40" s="105"/>
      <c r="AD40" s="99">
        <f>AG40</f>
        <v>130.69999999999999</v>
      </c>
      <c r="AE40" s="105">
        <v>0</v>
      </c>
      <c r="AF40" s="105">
        <v>0</v>
      </c>
      <c r="AG40" s="105">
        <v>130.69999999999999</v>
      </c>
      <c r="AH40" s="105">
        <v>0</v>
      </c>
      <c r="AI40" s="99">
        <v>0</v>
      </c>
      <c r="AJ40" s="105">
        <v>0</v>
      </c>
      <c r="AK40" s="105">
        <v>0</v>
      </c>
      <c r="AL40" s="105">
        <v>0</v>
      </c>
      <c r="AM40" s="105"/>
      <c r="AN40" s="99">
        <v>0</v>
      </c>
      <c r="AO40" s="105">
        <v>0</v>
      </c>
      <c r="AP40" s="105">
        <v>0</v>
      </c>
      <c r="AQ40" s="105">
        <v>0</v>
      </c>
      <c r="AR40" s="105"/>
      <c r="AS40" s="99">
        <v>0</v>
      </c>
      <c r="AT40" s="105">
        <v>0</v>
      </c>
      <c r="AU40" s="105">
        <v>0</v>
      </c>
      <c r="AV40" s="105">
        <v>0</v>
      </c>
      <c r="AW40" s="105"/>
      <c r="AX40" s="99">
        <v>0</v>
      </c>
      <c r="AY40" s="105">
        <v>0</v>
      </c>
      <c r="AZ40" s="105">
        <v>0</v>
      </c>
      <c r="BA40" s="105">
        <v>0</v>
      </c>
      <c r="BB40" s="114"/>
    </row>
    <row r="41" spans="1:57" ht="56.25" outlineLevel="3" x14ac:dyDescent="0.25">
      <c r="A41" s="152"/>
      <c r="B41" s="189"/>
      <c r="C41" s="192"/>
      <c r="D41" s="102" t="s">
        <v>66</v>
      </c>
      <c r="E41" s="103">
        <f t="shared" ref="E41" si="127">SUM(F41:I41)</f>
        <v>1.3</v>
      </c>
      <c r="F41" s="104">
        <f t="shared" ref="F41" si="128">K41+P41+U41</f>
        <v>0</v>
      </c>
      <c r="G41" s="104">
        <f t="shared" ref="G41" si="129">L41+Q41+V41</f>
        <v>0</v>
      </c>
      <c r="H41" s="104">
        <f t="shared" ref="H41" si="130">M41+R41+W41+AB41+AG41+AL41+AQ41+AV41+BA41</f>
        <v>1.3</v>
      </c>
      <c r="I41" s="104">
        <f t="shared" ref="I41" si="131">N41+S41+X41</f>
        <v>0</v>
      </c>
      <c r="J41" s="99">
        <f t="shared" ref="J41" si="132">M41</f>
        <v>0</v>
      </c>
      <c r="K41" s="105">
        <v>0</v>
      </c>
      <c r="L41" s="105">
        <v>0</v>
      </c>
      <c r="M41" s="105">
        <v>0</v>
      </c>
      <c r="N41" s="105">
        <v>0</v>
      </c>
      <c r="O41" s="99">
        <v>0</v>
      </c>
      <c r="P41" s="105">
        <v>0</v>
      </c>
      <c r="Q41" s="105">
        <v>0</v>
      </c>
      <c r="R41" s="105">
        <v>0</v>
      </c>
      <c r="S41" s="105">
        <v>0</v>
      </c>
      <c r="T41" s="109">
        <f t="shared" ref="T41" si="133">SUM(U41:X41)</f>
        <v>0</v>
      </c>
      <c r="U41" s="105">
        <v>0</v>
      </c>
      <c r="V41" s="105">
        <v>0</v>
      </c>
      <c r="W41" s="105">
        <v>0</v>
      </c>
      <c r="X41" s="105"/>
      <c r="Y41" s="99">
        <f>AB41</f>
        <v>0</v>
      </c>
      <c r="Z41" s="105">
        <v>0</v>
      </c>
      <c r="AA41" s="105">
        <v>0</v>
      </c>
      <c r="AB41" s="105">
        <v>0</v>
      </c>
      <c r="AC41" s="105"/>
      <c r="AD41" s="99">
        <f>AG41</f>
        <v>1.3</v>
      </c>
      <c r="AE41" s="105">
        <v>0</v>
      </c>
      <c r="AF41" s="105">
        <v>0</v>
      </c>
      <c r="AG41" s="105">
        <v>1.3</v>
      </c>
      <c r="AH41" s="105">
        <v>0</v>
      </c>
      <c r="AI41" s="99">
        <v>0</v>
      </c>
      <c r="AJ41" s="105">
        <v>0</v>
      </c>
      <c r="AK41" s="105">
        <v>0</v>
      </c>
      <c r="AL41" s="105">
        <v>0</v>
      </c>
      <c r="AM41" s="105"/>
      <c r="AN41" s="99">
        <v>0</v>
      </c>
      <c r="AO41" s="105">
        <v>0</v>
      </c>
      <c r="AP41" s="105">
        <v>0</v>
      </c>
      <c r="AQ41" s="105">
        <v>0</v>
      </c>
      <c r="AR41" s="105"/>
      <c r="AS41" s="99">
        <v>0</v>
      </c>
      <c r="AT41" s="105">
        <v>0</v>
      </c>
      <c r="AU41" s="105">
        <v>0</v>
      </c>
      <c r="AV41" s="105">
        <v>0</v>
      </c>
      <c r="AW41" s="105"/>
      <c r="AX41" s="99">
        <v>0</v>
      </c>
      <c r="AY41" s="105">
        <v>0</v>
      </c>
      <c r="AZ41" s="105">
        <v>0</v>
      </c>
      <c r="BA41" s="105">
        <v>0</v>
      </c>
      <c r="BB41" s="114"/>
    </row>
    <row r="42" spans="1:57" outlineLevel="3" x14ac:dyDescent="0.25">
      <c r="A42" s="97" t="s">
        <v>50</v>
      </c>
      <c r="B42" s="178" t="s">
        <v>165</v>
      </c>
      <c r="C42" s="178"/>
      <c r="D42" s="178"/>
      <c r="E42" s="99">
        <f t="shared" ref="E42:AL42" si="134">E43+E57+E68</f>
        <v>30824.400000000001</v>
      </c>
      <c r="F42" s="99">
        <f t="shared" si="134"/>
        <v>0</v>
      </c>
      <c r="G42" s="99">
        <f t="shared" si="134"/>
        <v>0</v>
      </c>
      <c r="H42" s="99">
        <f t="shared" si="134"/>
        <v>30824.400000000001</v>
      </c>
      <c r="I42" s="99">
        <f t="shared" si="134"/>
        <v>0</v>
      </c>
      <c r="J42" s="99">
        <f t="shared" si="134"/>
        <v>0</v>
      </c>
      <c r="K42" s="99">
        <f t="shared" si="134"/>
        <v>0</v>
      </c>
      <c r="L42" s="99">
        <f t="shared" si="134"/>
        <v>0</v>
      </c>
      <c r="M42" s="99">
        <f t="shared" si="134"/>
        <v>0</v>
      </c>
      <c r="N42" s="99">
        <f t="shared" si="134"/>
        <v>0</v>
      </c>
      <c r="O42" s="99">
        <f t="shared" si="134"/>
        <v>1140.9000000000001</v>
      </c>
      <c r="P42" s="99">
        <f t="shared" si="134"/>
        <v>0</v>
      </c>
      <c r="Q42" s="99">
        <f t="shared" si="134"/>
        <v>0</v>
      </c>
      <c r="R42" s="99">
        <f t="shared" si="134"/>
        <v>1140.9000000000001</v>
      </c>
      <c r="S42" s="99">
        <f t="shared" si="134"/>
        <v>0</v>
      </c>
      <c r="T42" s="99">
        <f t="shared" si="134"/>
        <v>3652</v>
      </c>
      <c r="U42" s="99">
        <f t="shared" si="134"/>
        <v>0</v>
      </c>
      <c r="V42" s="99">
        <f t="shared" si="134"/>
        <v>0</v>
      </c>
      <c r="W42" s="99">
        <f t="shared" si="134"/>
        <v>3652</v>
      </c>
      <c r="X42" s="99">
        <f t="shared" si="134"/>
        <v>0</v>
      </c>
      <c r="Y42" s="99">
        <f t="shared" si="134"/>
        <v>2520.3000000000002</v>
      </c>
      <c r="Z42" s="99">
        <f t="shared" si="134"/>
        <v>0</v>
      </c>
      <c r="AA42" s="99">
        <f t="shared" si="134"/>
        <v>0</v>
      </c>
      <c r="AB42" s="99">
        <f t="shared" si="134"/>
        <v>2520.3000000000002</v>
      </c>
      <c r="AC42" s="99">
        <f t="shared" si="134"/>
        <v>0</v>
      </c>
      <c r="AD42" s="99">
        <f t="shared" si="134"/>
        <v>23511.200000000001</v>
      </c>
      <c r="AE42" s="99">
        <f t="shared" si="134"/>
        <v>0</v>
      </c>
      <c r="AF42" s="99">
        <f t="shared" si="134"/>
        <v>0</v>
      </c>
      <c r="AG42" s="99">
        <f t="shared" si="134"/>
        <v>23511.200000000001</v>
      </c>
      <c r="AH42" s="99">
        <f t="shared" si="134"/>
        <v>0</v>
      </c>
      <c r="AI42" s="99">
        <f t="shared" si="134"/>
        <v>0</v>
      </c>
      <c r="AJ42" s="99">
        <f t="shared" si="134"/>
        <v>0</v>
      </c>
      <c r="AK42" s="99">
        <f t="shared" si="134"/>
        <v>0</v>
      </c>
      <c r="AL42" s="99">
        <f t="shared" si="134"/>
        <v>0</v>
      </c>
      <c r="AM42" s="105"/>
      <c r="AN42" s="99">
        <f>AN43+AN57+AN68</f>
        <v>0</v>
      </c>
      <c r="AO42" s="99">
        <f>AO43+AO57+AO68</f>
        <v>0</v>
      </c>
      <c r="AP42" s="99">
        <f>AP43+AP57+AP68</f>
        <v>0</v>
      </c>
      <c r="AQ42" s="99">
        <f>AQ43+AQ57+AQ68</f>
        <v>0</v>
      </c>
      <c r="AR42" s="105"/>
      <c r="AS42" s="99">
        <f>AS43+AS57+AS68</f>
        <v>0</v>
      </c>
      <c r="AT42" s="99">
        <f>AT43+AT57+AT68</f>
        <v>0</v>
      </c>
      <c r="AU42" s="99">
        <f>AU43+AU57+AU68</f>
        <v>0</v>
      </c>
      <c r="AV42" s="99">
        <f>AV43+AV57+AV68</f>
        <v>0</v>
      </c>
      <c r="AW42" s="105"/>
      <c r="AX42" s="99">
        <f>AX43+AX57+AX68</f>
        <v>0</v>
      </c>
      <c r="AY42" s="99">
        <f>AY43+AY57+AY68</f>
        <v>0</v>
      </c>
      <c r="AZ42" s="99">
        <f>AZ43+AZ57+AZ68</f>
        <v>0</v>
      </c>
      <c r="BA42" s="99">
        <f>BA43+BA57+BA68</f>
        <v>0</v>
      </c>
      <c r="BB42" s="114"/>
    </row>
    <row r="43" spans="1:57" outlineLevel="3" x14ac:dyDescent="0.25">
      <c r="A43" s="100" t="s">
        <v>100</v>
      </c>
      <c r="B43" s="193" t="s">
        <v>351</v>
      </c>
      <c r="C43" s="194"/>
      <c r="D43" s="195"/>
      <c r="E43" s="103">
        <f>SUM(E44:E56)</f>
        <v>18244.100000000002</v>
      </c>
      <c r="F43" s="103">
        <f t="shared" ref="F43:BB43" si="135">SUM(F44:F56)</f>
        <v>0</v>
      </c>
      <c r="G43" s="103">
        <f t="shared" si="135"/>
        <v>0</v>
      </c>
      <c r="H43" s="103">
        <f t="shared" si="135"/>
        <v>18244.100000000002</v>
      </c>
      <c r="I43" s="103">
        <f t="shared" si="135"/>
        <v>0</v>
      </c>
      <c r="J43" s="103">
        <f t="shared" si="135"/>
        <v>0</v>
      </c>
      <c r="K43" s="103">
        <f t="shared" si="135"/>
        <v>0</v>
      </c>
      <c r="L43" s="103">
        <f t="shared" si="135"/>
        <v>0</v>
      </c>
      <c r="M43" s="103">
        <f t="shared" si="135"/>
        <v>0</v>
      </c>
      <c r="N43" s="103">
        <f t="shared" si="135"/>
        <v>0</v>
      </c>
      <c r="O43" s="103">
        <f t="shared" si="135"/>
        <v>1068.5</v>
      </c>
      <c r="P43" s="103">
        <f t="shared" si="135"/>
        <v>0</v>
      </c>
      <c r="Q43" s="103">
        <f t="shared" si="135"/>
        <v>0</v>
      </c>
      <c r="R43" s="103">
        <f t="shared" si="135"/>
        <v>1068.5</v>
      </c>
      <c r="S43" s="103">
        <f t="shared" si="135"/>
        <v>0</v>
      </c>
      <c r="T43" s="103">
        <f t="shared" si="135"/>
        <v>625.70000000000005</v>
      </c>
      <c r="U43" s="103">
        <f t="shared" si="135"/>
        <v>0</v>
      </c>
      <c r="V43" s="103">
        <f t="shared" si="135"/>
        <v>0</v>
      </c>
      <c r="W43" s="103">
        <f t="shared" si="135"/>
        <v>625.70000000000005</v>
      </c>
      <c r="X43" s="103">
        <f t="shared" si="135"/>
        <v>0</v>
      </c>
      <c r="Y43" s="103">
        <f t="shared" si="135"/>
        <v>988</v>
      </c>
      <c r="Z43" s="103">
        <f t="shared" si="135"/>
        <v>0</v>
      </c>
      <c r="AA43" s="103">
        <f t="shared" si="135"/>
        <v>0</v>
      </c>
      <c r="AB43" s="103">
        <f t="shared" si="135"/>
        <v>988</v>
      </c>
      <c r="AC43" s="103">
        <f t="shared" si="135"/>
        <v>0</v>
      </c>
      <c r="AD43" s="103">
        <f t="shared" si="135"/>
        <v>15561.900000000001</v>
      </c>
      <c r="AE43" s="103">
        <f t="shared" si="135"/>
        <v>0</v>
      </c>
      <c r="AF43" s="103">
        <f t="shared" si="135"/>
        <v>0</v>
      </c>
      <c r="AG43" s="103">
        <f t="shared" si="135"/>
        <v>15561.900000000001</v>
      </c>
      <c r="AH43" s="103">
        <f t="shared" si="135"/>
        <v>0</v>
      </c>
      <c r="AI43" s="103">
        <f t="shared" si="135"/>
        <v>0</v>
      </c>
      <c r="AJ43" s="103">
        <f t="shared" si="135"/>
        <v>0</v>
      </c>
      <c r="AK43" s="103">
        <f t="shared" si="135"/>
        <v>0</v>
      </c>
      <c r="AL43" s="103">
        <f t="shared" si="135"/>
        <v>0</v>
      </c>
      <c r="AM43" s="103">
        <f t="shared" si="135"/>
        <v>0</v>
      </c>
      <c r="AN43" s="103">
        <f t="shared" si="135"/>
        <v>0</v>
      </c>
      <c r="AO43" s="103">
        <f t="shared" si="135"/>
        <v>0</v>
      </c>
      <c r="AP43" s="103">
        <f t="shared" si="135"/>
        <v>0</v>
      </c>
      <c r="AQ43" s="103">
        <f t="shared" si="135"/>
        <v>0</v>
      </c>
      <c r="AR43" s="103">
        <f t="shared" si="135"/>
        <v>0</v>
      </c>
      <c r="AS43" s="103">
        <f t="shared" si="135"/>
        <v>0</v>
      </c>
      <c r="AT43" s="103">
        <f t="shared" si="135"/>
        <v>0</v>
      </c>
      <c r="AU43" s="103">
        <f t="shared" si="135"/>
        <v>0</v>
      </c>
      <c r="AV43" s="103">
        <f t="shared" si="135"/>
        <v>0</v>
      </c>
      <c r="AW43" s="103">
        <f t="shared" si="135"/>
        <v>0</v>
      </c>
      <c r="AX43" s="103">
        <f t="shared" si="135"/>
        <v>0</v>
      </c>
      <c r="AY43" s="103">
        <f t="shared" si="135"/>
        <v>0</v>
      </c>
      <c r="AZ43" s="103">
        <f t="shared" si="135"/>
        <v>0</v>
      </c>
      <c r="BA43" s="103">
        <f t="shared" si="135"/>
        <v>0</v>
      </c>
      <c r="BB43" s="103">
        <f t="shared" si="135"/>
        <v>0</v>
      </c>
      <c r="BC43" s="115"/>
      <c r="BD43" s="115"/>
      <c r="BE43" s="115"/>
    </row>
    <row r="44" spans="1:57" ht="56.25" outlineLevel="3" x14ac:dyDescent="0.25">
      <c r="A44" s="100" t="s">
        <v>161</v>
      </c>
      <c r="B44" s="101" t="s">
        <v>101</v>
      </c>
      <c r="C44" s="106" t="s">
        <v>66</v>
      </c>
      <c r="D44" s="106" t="s">
        <v>36</v>
      </c>
      <c r="E44" s="103">
        <f t="shared" ref="E44:E58" si="136">SUM(F44:I44)</f>
        <v>1068.5</v>
      </c>
      <c r="F44" s="104">
        <f t="shared" ref="F44:G44" si="137">K44+P44+U44</f>
        <v>0</v>
      </c>
      <c r="G44" s="104">
        <f t="shared" si="137"/>
        <v>0</v>
      </c>
      <c r="H44" s="104">
        <f t="shared" ref="H44:H108" si="138">M44+R44+W44+AB44+AG44+AL44+AQ44+AV44+BA44</f>
        <v>1068.5</v>
      </c>
      <c r="I44" s="105">
        <v>0</v>
      </c>
      <c r="J44" s="99">
        <f>M44</f>
        <v>0</v>
      </c>
      <c r="K44" s="105">
        <v>0</v>
      </c>
      <c r="L44" s="105">
        <v>0</v>
      </c>
      <c r="M44" s="105">
        <v>0</v>
      </c>
      <c r="N44" s="105">
        <v>0</v>
      </c>
      <c r="O44" s="99">
        <f>R44</f>
        <v>1068.5</v>
      </c>
      <c r="P44" s="105">
        <v>0</v>
      </c>
      <c r="Q44" s="105">
        <v>0</v>
      </c>
      <c r="R44" s="105">
        <f>897.7+170.8</f>
        <v>1068.5</v>
      </c>
      <c r="S44" s="105">
        <v>0</v>
      </c>
      <c r="T44" s="99">
        <f>W44</f>
        <v>0</v>
      </c>
      <c r="U44" s="105">
        <v>0</v>
      </c>
      <c r="V44" s="105">
        <v>0</v>
      </c>
      <c r="W44" s="105">
        <v>0</v>
      </c>
      <c r="X44" s="105">
        <v>0</v>
      </c>
      <c r="Y44" s="99">
        <f>AB44</f>
        <v>0</v>
      </c>
      <c r="Z44" s="105">
        <v>0</v>
      </c>
      <c r="AA44" s="105">
        <v>0</v>
      </c>
      <c r="AB44" s="105">
        <v>0</v>
      </c>
      <c r="AC44" s="105">
        <v>0</v>
      </c>
      <c r="AD44" s="99">
        <f>AG44</f>
        <v>0</v>
      </c>
      <c r="AE44" s="105">
        <v>0</v>
      </c>
      <c r="AF44" s="105">
        <v>0</v>
      </c>
      <c r="AG44" s="105">
        <v>0</v>
      </c>
      <c r="AH44" s="105">
        <v>0</v>
      </c>
      <c r="AI44" s="99">
        <f>AL44</f>
        <v>0</v>
      </c>
      <c r="AJ44" s="105">
        <v>0</v>
      </c>
      <c r="AK44" s="105">
        <v>0</v>
      </c>
      <c r="AL44" s="105">
        <v>0</v>
      </c>
      <c r="AM44" s="105">
        <v>0</v>
      </c>
      <c r="AN44" s="99">
        <f>AQ44</f>
        <v>0</v>
      </c>
      <c r="AO44" s="105">
        <v>0</v>
      </c>
      <c r="AP44" s="105">
        <v>0</v>
      </c>
      <c r="AQ44" s="105">
        <v>0</v>
      </c>
      <c r="AR44" s="105">
        <v>0</v>
      </c>
      <c r="AS44" s="99">
        <f>AV44</f>
        <v>0</v>
      </c>
      <c r="AT44" s="105">
        <v>0</v>
      </c>
      <c r="AU44" s="105">
        <v>0</v>
      </c>
      <c r="AV44" s="105">
        <v>0</v>
      </c>
      <c r="AW44" s="105">
        <v>0</v>
      </c>
      <c r="AX44" s="99">
        <f>BA44</f>
        <v>0</v>
      </c>
      <c r="AY44" s="105">
        <v>0</v>
      </c>
      <c r="AZ44" s="105">
        <v>0</v>
      </c>
      <c r="BA44" s="105">
        <v>0</v>
      </c>
      <c r="BB44" s="114">
        <v>0</v>
      </c>
    </row>
    <row r="45" spans="1:57" ht="56.25" outlineLevel="3" x14ac:dyDescent="0.25">
      <c r="A45" s="100" t="s">
        <v>343</v>
      </c>
      <c r="B45" s="101" t="s">
        <v>345</v>
      </c>
      <c r="C45" s="106" t="s">
        <v>66</v>
      </c>
      <c r="D45" s="106" t="s">
        <v>6</v>
      </c>
      <c r="E45" s="103">
        <f t="shared" ref="E45:E46" si="139">SUM(F45:I45)</f>
        <v>108.1</v>
      </c>
      <c r="F45" s="104">
        <f t="shared" ref="F45:F46" si="140">K45+P45+U45</f>
        <v>0</v>
      </c>
      <c r="G45" s="104">
        <f t="shared" ref="G45:G46" si="141">L45+Q45+V45</f>
        <v>0</v>
      </c>
      <c r="H45" s="104">
        <f t="shared" si="138"/>
        <v>108.1</v>
      </c>
      <c r="I45" s="105">
        <v>0</v>
      </c>
      <c r="J45" s="99">
        <f>M45</f>
        <v>0</v>
      </c>
      <c r="K45" s="105">
        <v>0</v>
      </c>
      <c r="L45" s="105">
        <v>0</v>
      </c>
      <c r="M45" s="105">
        <v>0</v>
      </c>
      <c r="N45" s="105">
        <v>0</v>
      </c>
      <c r="O45" s="99">
        <f>R45</f>
        <v>0</v>
      </c>
      <c r="P45" s="105">
        <v>0</v>
      </c>
      <c r="Q45" s="105">
        <v>0</v>
      </c>
      <c r="R45" s="105">
        <v>0</v>
      </c>
      <c r="S45" s="105">
        <v>0</v>
      </c>
      <c r="T45" s="99">
        <f>W45</f>
        <v>108.1</v>
      </c>
      <c r="U45" s="105">
        <v>0</v>
      </c>
      <c r="V45" s="105">
        <v>0</v>
      </c>
      <c r="W45" s="105">
        <v>108.1</v>
      </c>
      <c r="X45" s="105">
        <v>0</v>
      </c>
      <c r="Y45" s="99">
        <f>AB45</f>
        <v>0</v>
      </c>
      <c r="Z45" s="105">
        <v>0</v>
      </c>
      <c r="AA45" s="105">
        <v>0</v>
      </c>
      <c r="AB45" s="105">
        <v>0</v>
      </c>
      <c r="AC45" s="105">
        <v>0</v>
      </c>
      <c r="AD45" s="99">
        <f>AG45</f>
        <v>0</v>
      </c>
      <c r="AE45" s="105">
        <v>0</v>
      </c>
      <c r="AF45" s="105">
        <v>0</v>
      </c>
      <c r="AG45" s="105">
        <v>0</v>
      </c>
      <c r="AH45" s="105">
        <v>0</v>
      </c>
      <c r="AI45" s="99">
        <f>AL45</f>
        <v>0</v>
      </c>
      <c r="AJ45" s="105">
        <v>0</v>
      </c>
      <c r="AK45" s="105">
        <v>0</v>
      </c>
      <c r="AL45" s="105">
        <v>0</v>
      </c>
      <c r="AM45" s="105">
        <v>0</v>
      </c>
      <c r="AN45" s="99">
        <f>AQ45</f>
        <v>0</v>
      </c>
      <c r="AO45" s="105">
        <v>0</v>
      </c>
      <c r="AP45" s="105">
        <v>0</v>
      </c>
      <c r="AQ45" s="105">
        <v>0</v>
      </c>
      <c r="AR45" s="105">
        <v>0</v>
      </c>
      <c r="AS45" s="99">
        <f>AV45</f>
        <v>0</v>
      </c>
      <c r="AT45" s="105">
        <v>0</v>
      </c>
      <c r="AU45" s="105">
        <v>0</v>
      </c>
      <c r="AV45" s="105">
        <v>0</v>
      </c>
      <c r="AW45" s="105">
        <v>0</v>
      </c>
      <c r="AX45" s="99">
        <f>BA45</f>
        <v>0</v>
      </c>
      <c r="AY45" s="105">
        <v>0</v>
      </c>
      <c r="AZ45" s="105">
        <v>0</v>
      </c>
      <c r="BA45" s="105">
        <v>0</v>
      </c>
      <c r="BB45" s="105">
        <v>0</v>
      </c>
    </row>
    <row r="46" spans="1:57" ht="56.25" outlineLevel="3" x14ac:dyDescent="0.25">
      <c r="A46" s="100" t="s">
        <v>344</v>
      </c>
      <c r="B46" s="101" t="s">
        <v>346</v>
      </c>
      <c r="C46" s="106" t="s">
        <v>66</v>
      </c>
      <c r="D46" s="106" t="s">
        <v>6</v>
      </c>
      <c r="E46" s="103">
        <f t="shared" si="139"/>
        <v>281.10000000000002</v>
      </c>
      <c r="F46" s="104">
        <f t="shared" si="140"/>
        <v>0</v>
      </c>
      <c r="G46" s="104">
        <f t="shared" si="141"/>
        <v>0</v>
      </c>
      <c r="H46" s="104">
        <f t="shared" si="138"/>
        <v>281.10000000000002</v>
      </c>
      <c r="I46" s="105">
        <v>0</v>
      </c>
      <c r="J46" s="99">
        <f>M46</f>
        <v>0</v>
      </c>
      <c r="K46" s="105">
        <v>0</v>
      </c>
      <c r="L46" s="105">
        <v>0</v>
      </c>
      <c r="M46" s="105">
        <v>0</v>
      </c>
      <c r="N46" s="105">
        <v>0</v>
      </c>
      <c r="O46" s="99">
        <f>R46</f>
        <v>0</v>
      </c>
      <c r="P46" s="105">
        <v>0</v>
      </c>
      <c r="Q46" s="105">
        <v>0</v>
      </c>
      <c r="R46" s="105">
        <v>0</v>
      </c>
      <c r="S46" s="105">
        <v>0</v>
      </c>
      <c r="T46" s="99">
        <f>W46</f>
        <v>281.10000000000002</v>
      </c>
      <c r="U46" s="105">
        <v>0</v>
      </c>
      <c r="V46" s="105">
        <v>0</v>
      </c>
      <c r="W46" s="105">
        <f>545.7-236.5-28.1</f>
        <v>281.10000000000002</v>
      </c>
      <c r="X46" s="105">
        <v>0</v>
      </c>
      <c r="Y46" s="99">
        <f>AB46</f>
        <v>0</v>
      </c>
      <c r="Z46" s="105">
        <v>0</v>
      </c>
      <c r="AA46" s="105">
        <v>0</v>
      </c>
      <c r="AB46" s="105">
        <v>0</v>
      </c>
      <c r="AC46" s="105">
        <v>0</v>
      </c>
      <c r="AD46" s="99">
        <f>AG46</f>
        <v>0</v>
      </c>
      <c r="AE46" s="105">
        <v>0</v>
      </c>
      <c r="AF46" s="105">
        <v>0</v>
      </c>
      <c r="AG46" s="105">
        <v>0</v>
      </c>
      <c r="AH46" s="105">
        <v>0</v>
      </c>
      <c r="AI46" s="99">
        <f>AL46</f>
        <v>0</v>
      </c>
      <c r="AJ46" s="105">
        <v>0</v>
      </c>
      <c r="AK46" s="105">
        <v>0</v>
      </c>
      <c r="AL46" s="105">
        <v>0</v>
      </c>
      <c r="AM46" s="105">
        <v>0</v>
      </c>
      <c r="AN46" s="99">
        <f>AQ46</f>
        <v>0</v>
      </c>
      <c r="AO46" s="105">
        <v>0</v>
      </c>
      <c r="AP46" s="105">
        <v>0</v>
      </c>
      <c r="AQ46" s="105">
        <v>0</v>
      </c>
      <c r="AR46" s="105">
        <v>0</v>
      </c>
      <c r="AS46" s="99">
        <f>AV46</f>
        <v>0</v>
      </c>
      <c r="AT46" s="105">
        <v>0</v>
      </c>
      <c r="AU46" s="105">
        <v>0</v>
      </c>
      <c r="AV46" s="105">
        <v>0</v>
      </c>
      <c r="AW46" s="105">
        <v>0</v>
      </c>
      <c r="AX46" s="99">
        <f>BA46</f>
        <v>0</v>
      </c>
      <c r="AY46" s="105">
        <v>0</v>
      </c>
      <c r="AZ46" s="105">
        <v>0</v>
      </c>
      <c r="BA46" s="105">
        <v>0</v>
      </c>
      <c r="BB46" s="105">
        <v>0</v>
      </c>
    </row>
    <row r="47" spans="1:57" ht="75" outlineLevel="3" x14ac:dyDescent="0.25">
      <c r="A47" s="100" t="s">
        <v>357</v>
      </c>
      <c r="B47" s="101" t="s">
        <v>358</v>
      </c>
      <c r="C47" s="106" t="s">
        <v>66</v>
      </c>
      <c r="D47" s="106" t="s">
        <v>6</v>
      </c>
      <c r="E47" s="103">
        <f t="shared" ref="E47" si="142">SUM(F47:I47)</f>
        <v>236.5</v>
      </c>
      <c r="F47" s="104">
        <f t="shared" ref="F47" si="143">K47+P47+U47</f>
        <v>0</v>
      </c>
      <c r="G47" s="104">
        <f t="shared" ref="G47" si="144">L47+Q47+V47</f>
        <v>0</v>
      </c>
      <c r="H47" s="104">
        <f t="shared" si="138"/>
        <v>236.5</v>
      </c>
      <c r="I47" s="105">
        <v>0</v>
      </c>
      <c r="J47" s="99">
        <f>M47</f>
        <v>0</v>
      </c>
      <c r="K47" s="105">
        <v>0</v>
      </c>
      <c r="L47" s="105">
        <v>0</v>
      </c>
      <c r="M47" s="105">
        <v>0</v>
      </c>
      <c r="N47" s="105">
        <v>0</v>
      </c>
      <c r="O47" s="99">
        <f>R47</f>
        <v>0</v>
      </c>
      <c r="P47" s="105">
        <v>0</v>
      </c>
      <c r="Q47" s="105">
        <v>0</v>
      </c>
      <c r="R47" s="105">
        <v>0</v>
      </c>
      <c r="S47" s="105">
        <v>0</v>
      </c>
      <c r="T47" s="99">
        <f>W47</f>
        <v>236.5</v>
      </c>
      <c r="U47" s="105">
        <v>0</v>
      </c>
      <c r="V47" s="105">
        <v>0</v>
      </c>
      <c r="W47" s="105">
        <v>236.5</v>
      </c>
      <c r="X47" s="105">
        <v>0</v>
      </c>
      <c r="Y47" s="99">
        <f>AB47</f>
        <v>0</v>
      </c>
      <c r="Z47" s="105">
        <v>0</v>
      </c>
      <c r="AA47" s="105">
        <v>0</v>
      </c>
      <c r="AB47" s="105">
        <v>0</v>
      </c>
      <c r="AC47" s="105">
        <v>0</v>
      </c>
      <c r="AD47" s="99">
        <f>AG47</f>
        <v>0</v>
      </c>
      <c r="AE47" s="105">
        <v>0</v>
      </c>
      <c r="AF47" s="105">
        <v>0</v>
      </c>
      <c r="AG47" s="105">
        <v>0</v>
      </c>
      <c r="AH47" s="105">
        <v>0</v>
      </c>
      <c r="AI47" s="99">
        <f>AL47</f>
        <v>0</v>
      </c>
      <c r="AJ47" s="105">
        <v>0</v>
      </c>
      <c r="AK47" s="105">
        <v>0</v>
      </c>
      <c r="AL47" s="105">
        <v>0</v>
      </c>
      <c r="AM47" s="105">
        <v>0</v>
      </c>
      <c r="AN47" s="99">
        <f>AQ47</f>
        <v>0</v>
      </c>
      <c r="AO47" s="105">
        <v>0</v>
      </c>
      <c r="AP47" s="105">
        <v>0</v>
      </c>
      <c r="AQ47" s="105">
        <v>0</v>
      </c>
      <c r="AR47" s="105">
        <v>0</v>
      </c>
      <c r="AS47" s="99">
        <f>AV47</f>
        <v>0</v>
      </c>
      <c r="AT47" s="105">
        <v>0</v>
      </c>
      <c r="AU47" s="105">
        <v>0</v>
      </c>
      <c r="AV47" s="105">
        <v>0</v>
      </c>
      <c r="AW47" s="105">
        <v>0</v>
      </c>
      <c r="AX47" s="99">
        <f>BA47</f>
        <v>0</v>
      </c>
      <c r="AY47" s="105">
        <v>0</v>
      </c>
      <c r="AZ47" s="105">
        <v>0</v>
      </c>
      <c r="BA47" s="105">
        <v>0</v>
      </c>
      <c r="BB47" s="105">
        <v>0</v>
      </c>
    </row>
    <row r="48" spans="1:57" ht="56.25" outlineLevel="3" x14ac:dyDescent="0.25">
      <c r="A48" s="100" t="s">
        <v>439</v>
      </c>
      <c r="B48" s="101" t="s">
        <v>361</v>
      </c>
      <c r="C48" s="106" t="s">
        <v>66</v>
      </c>
      <c r="D48" s="106" t="s">
        <v>6</v>
      </c>
      <c r="E48" s="103">
        <f t="shared" ref="E48" si="145">SUM(F48:I48)</f>
        <v>3439</v>
      </c>
      <c r="F48" s="104">
        <v>0</v>
      </c>
      <c r="G48" s="104">
        <v>0</v>
      </c>
      <c r="H48" s="104">
        <f t="shared" si="138"/>
        <v>3439</v>
      </c>
      <c r="I48" s="104">
        <v>0</v>
      </c>
      <c r="J48" s="99">
        <f t="shared" ref="J48" si="146">M48</f>
        <v>0</v>
      </c>
      <c r="K48" s="105">
        <v>0</v>
      </c>
      <c r="L48" s="105">
        <v>0</v>
      </c>
      <c r="M48" s="105">
        <v>0</v>
      </c>
      <c r="N48" s="105">
        <v>0</v>
      </c>
      <c r="O48" s="99">
        <f t="shared" ref="O48" si="147">R48</f>
        <v>0</v>
      </c>
      <c r="P48" s="105">
        <v>0</v>
      </c>
      <c r="Q48" s="105">
        <v>0</v>
      </c>
      <c r="R48" s="105">
        <v>0</v>
      </c>
      <c r="S48" s="105">
        <v>0</v>
      </c>
      <c r="T48" s="99">
        <f t="shared" ref="T48" si="148">W48</f>
        <v>0</v>
      </c>
      <c r="U48" s="105">
        <v>0</v>
      </c>
      <c r="V48" s="105">
        <v>0</v>
      </c>
      <c r="W48" s="105">
        <v>0</v>
      </c>
      <c r="X48" s="105">
        <v>0</v>
      </c>
      <c r="Y48" s="99">
        <f t="shared" ref="Y48" si="149">AB48</f>
        <v>0</v>
      </c>
      <c r="Z48" s="105">
        <v>0</v>
      </c>
      <c r="AA48" s="105">
        <v>0</v>
      </c>
      <c r="AB48" s="105">
        <v>0</v>
      </c>
      <c r="AC48" s="105">
        <v>0</v>
      </c>
      <c r="AD48" s="99">
        <f t="shared" ref="AD48" si="150">AG48</f>
        <v>3439</v>
      </c>
      <c r="AE48" s="105">
        <v>0</v>
      </c>
      <c r="AF48" s="105">
        <v>0</v>
      </c>
      <c r="AG48" s="105">
        <v>3439</v>
      </c>
      <c r="AH48" s="105">
        <v>0</v>
      </c>
      <c r="AI48" s="99">
        <f t="shared" ref="AI48" si="151">AL48</f>
        <v>0</v>
      </c>
      <c r="AJ48" s="105">
        <v>0</v>
      </c>
      <c r="AK48" s="105">
        <v>0</v>
      </c>
      <c r="AL48" s="105">
        <v>0</v>
      </c>
      <c r="AM48" s="105"/>
      <c r="AN48" s="99">
        <f t="shared" ref="AN48:AN50" si="152">AQ48</f>
        <v>0</v>
      </c>
      <c r="AO48" s="105">
        <v>0</v>
      </c>
      <c r="AP48" s="105">
        <v>0</v>
      </c>
      <c r="AQ48" s="105">
        <v>0</v>
      </c>
      <c r="AR48" s="105"/>
      <c r="AS48" s="99">
        <f t="shared" ref="AS48:AS50" si="153">AV48</f>
        <v>0</v>
      </c>
      <c r="AT48" s="105">
        <v>0</v>
      </c>
      <c r="AU48" s="105">
        <v>0</v>
      </c>
      <c r="AV48" s="105">
        <v>0</v>
      </c>
      <c r="AW48" s="105"/>
      <c r="AX48" s="99">
        <f t="shared" ref="AX48:AX50" si="154">BA48</f>
        <v>0</v>
      </c>
      <c r="AY48" s="105">
        <v>0</v>
      </c>
      <c r="AZ48" s="105">
        <v>0</v>
      </c>
      <c r="BA48" s="105">
        <v>0</v>
      </c>
      <c r="BB48" s="105"/>
    </row>
    <row r="49" spans="1:54" ht="112.5" outlineLevel="3" x14ac:dyDescent="0.25">
      <c r="A49" s="100" t="s">
        <v>360</v>
      </c>
      <c r="B49" s="101" t="s">
        <v>366</v>
      </c>
      <c r="C49" s="106" t="s">
        <v>66</v>
      </c>
      <c r="D49" s="106" t="s">
        <v>36</v>
      </c>
      <c r="E49" s="103">
        <f t="shared" ref="E49" si="155">SUM(F49:I49)</f>
        <v>263.60000000000002</v>
      </c>
      <c r="F49" s="104">
        <v>0</v>
      </c>
      <c r="G49" s="104">
        <v>0</v>
      </c>
      <c r="H49" s="104">
        <f t="shared" si="138"/>
        <v>263.60000000000002</v>
      </c>
      <c r="I49" s="104">
        <v>0</v>
      </c>
      <c r="J49" s="99">
        <f t="shared" ref="J49" si="156">M49</f>
        <v>0</v>
      </c>
      <c r="K49" s="105">
        <v>0</v>
      </c>
      <c r="L49" s="105">
        <v>0</v>
      </c>
      <c r="M49" s="105">
        <v>0</v>
      </c>
      <c r="N49" s="105">
        <v>0</v>
      </c>
      <c r="O49" s="99">
        <f t="shared" ref="O49" si="157">R49</f>
        <v>0</v>
      </c>
      <c r="P49" s="105">
        <v>0</v>
      </c>
      <c r="Q49" s="105">
        <v>0</v>
      </c>
      <c r="R49" s="105">
        <v>0</v>
      </c>
      <c r="S49" s="105">
        <v>0</v>
      </c>
      <c r="T49" s="99">
        <f t="shared" ref="T49" si="158">W49</f>
        <v>0</v>
      </c>
      <c r="U49" s="105">
        <v>0</v>
      </c>
      <c r="V49" s="105">
        <v>0</v>
      </c>
      <c r="W49" s="105">
        <v>0</v>
      </c>
      <c r="X49" s="105">
        <v>0</v>
      </c>
      <c r="Y49" s="99">
        <f t="shared" ref="Y49" si="159">AB49</f>
        <v>263.60000000000002</v>
      </c>
      <c r="Z49" s="105">
        <v>0</v>
      </c>
      <c r="AA49" s="105">
        <v>0</v>
      </c>
      <c r="AB49" s="105">
        <v>263.60000000000002</v>
      </c>
      <c r="AC49" s="105">
        <v>0</v>
      </c>
      <c r="AD49" s="99">
        <f t="shared" ref="AD49" si="160">AG49</f>
        <v>0</v>
      </c>
      <c r="AE49" s="105">
        <v>0</v>
      </c>
      <c r="AF49" s="105">
        <v>0</v>
      </c>
      <c r="AG49" s="105">
        <v>0</v>
      </c>
      <c r="AH49" s="105">
        <v>0</v>
      </c>
      <c r="AI49" s="99">
        <f t="shared" ref="AI49" si="161">AL49</f>
        <v>0</v>
      </c>
      <c r="AJ49" s="105">
        <v>0</v>
      </c>
      <c r="AK49" s="105">
        <v>0</v>
      </c>
      <c r="AL49" s="105">
        <v>0</v>
      </c>
      <c r="AM49" s="105"/>
      <c r="AN49" s="99">
        <f t="shared" si="152"/>
        <v>0</v>
      </c>
      <c r="AO49" s="105">
        <v>0</v>
      </c>
      <c r="AP49" s="105">
        <v>0</v>
      </c>
      <c r="AQ49" s="105">
        <v>0</v>
      </c>
      <c r="AR49" s="105"/>
      <c r="AS49" s="99">
        <f t="shared" si="153"/>
        <v>0</v>
      </c>
      <c r="AT49" s="105">
        <v>0</v>
      </c>
      <c r="AU49" s="105">
        <v>0</v>
      </c>
      <c r="AV49" s="105">
        <v>0</v>
      </c>
      <c r="AW49" s="105"/>
      <c r="AX49" s="99">
        <f t="shared" si="154"/>
        <v>0</v>
      </c>
      <c r="AY49" s="105">
        <v>0</v>
      </c>
      <c r="AZ49" s="105">
        <v>0</v>
      </c>
      <c r="BA49" s="105">
        <v>0</v>
      </c>
      <c r="BB49" s="105"/>
    </row>
    <row r="50" spans="1:54" ht="56.25" outlineLevel="3" x14ac:dyDescent="0.25">
      <c r="A50" s="100" t="s">
        <v>365</v>
      </c>
      <c r="B50" s="101" t="s">
        <v>368</v>
      </c>
      <c r="C50" s="106" t="s">
        <v>66</v>
      </c>
      <c r="D50" s="106" t="s">
        <v>36</v>
      </c>
      <c r="E50" s="103">
        <f t="shared" ref="E50" si="162">SUM(F50:I50)</f>
        <v>724.4</v>
      </c>
      <c r="F50" s="104">
        <v>0</v>
      </c>
      <c r="G50" s="104">
        <v>0</v>
      </c>
      <c r="H50" s="104">
        <f t="shared" si="138"/>
        <v>724.4</v>
      </c>
      <c r="I50" s="104">
        <v>0</v>
      </c>
      <c r="J50" s="99">
        <f t="shared" ref="J50" si="163">M50</f>
        <v>0</v>
      </c>
      <c r="K50" s="105">
        <v>0</v>
      </c>
      <c r="L50" s="105">
        <v>0</v>
      </c>
      <c r="M50" s="105">
        <v>0</v>
      </c>
      <c r="N50" s="105">
        <v>0</v>
      </c>
      <c r="O50" s="99">
        <f t="shared" ref="O50" si="164">R50</f>
        <v>0</v>
      </c>
      <c r="P50" s="105">
        <v>0</v>
      </c>
      <c r="Q50" s="105">
        <v>0</v>
      </c>
      <c r="R50" s="105">
        <v>0</v>
      </c>
      <c r="S50" s="105">
        <v>0</v>
      </c>
      <c r="T50" s="99">
        <f t="shared" ref="T50" si="165">W50</f>
        <v>0</v>
      </c>
      <c r="U50" s="105">
        <v>0</v>
      </c>
      <c r="V50" s="105">
        <v>0</v>
      </c>
      <c r="W50" s="105">
        <v>0</v>
      </c>
      <c r="X50" s="105">
        <v>0</v>
      </c>
      <c r="Y50" s="99">
        <f t="shared" ref="Y50" si="166">AB50</f>
        <v>724.4</v>
      </c>
      <c r="Z50" s="105">
        <v>0</v>
      </c>
      <c r="AA50" s="105">
        <v>0</v>
      </c>
      <c r="AB50" s="105">
        <v>724.4</v>
      </c>
      <c r="AC50" s="105">
        <v>0</v>
      </c>
      <c r="AD50" s="99">
        <f t="shared" ref="AD50" si="167">AG50</f>
        <v>0</v>
      </c>
      <c r="AE50" s="105">
        <v>0</v>
      </c>
      <c r="AF50" s="105">
        <v>0</v>
      </c>
      <c r="AG50" s="105">
        <v>0</v>
      </c>
      <c r="AH50" s="105">
        <v>0</v>
      </c>
      <c r="AI50" s="99">
        <f t="shared" ref="AI50" si="168">AL50</f>
        <v>0</v>
      </c>
      <c r="AJ50" s="105">
        <v>0</v>
      </c>
      <c r="AK50" s="105">
        <v>0</v>
      </c>
      <c r="AL50" s="105">
        <v>0</v>
      </c>
      <c r="AM50" s="105"/>
      <c r="AN50" s="99">
        <f t="shared" si="152"/>
        <v>0</v>
      </c>
      <c r="AO50" s="105">
        <v>0</v>
      </c>
      <c r="AP50" s="105">
        <v>0</v>
      </c>
      <c r="AQ50" s="105">
        <v>0</v>
      </c>
      <c r="AR50" s="105"/>
      <c r="AS50" s="99">
        <f t="shared" si="153"/>
        <v>0</v>
      </c>
      <c r="AT50" s="105">
        <v>0</v>
      </c>
      <c r="AU50" s="105">
        <v>0</v>
      </c>
      <c r="AV50" s="105">
        <v>0</v>
      </c>
      <c r="AW50" s="105"/>
      <c r="AX50" s="99">
        <f t="shared" si="154"/>
        <v>0</v>
      </c>
      <c r="AY50" s="105">
        <v>0</v>
      </c>
      <c r="AZ50" s="105">
        <v>0</v>
      </c>
      <c r="BA50" s="105">
        <v>0</v>
      </c>
      <c r="BB50" s="105"/>
    </row>
    <row r="51" spans="1:54" ht="56.25" outlineLevel="3" x14ac:dyDescent="0.25">
      <c r="A51" s="100" t="s">
        <v>367</v>
      </c>
      <c r="B51" s="101" t="s">
        <v>387</v>
      </c>
      <c r="C51" s="106" t="s">
        <v>66</v>
      </c>
      <c r="D51" s="106" t="s">
        <v>36</v>
      </c>
      <c r="E51" s="103">
        <f t="shared" ref="E51" si="169">SUM(F51:I51)</f>
        <v>8854.2000000000007</v>
      </c>
      <c r="F51" s="104">
        <v>0</v>
      </c>
      <c r="G51" s="104">
        <v>0</v>
      </c>
      <c r="H51" s="104">
        <f t="shared" ref="H51" si="170">M51+R51+W51+AB51+AG51+AL51+AQ51+AV51+BA51</f>
        <v>8854.2000000000007</v>
      </c>
      <c r="I51" s="104">
        <v>0</v>
      </c>
      <c r="J51" s="99">
        <f t="shared" ref="J51" si="171">M51</f>
        <v>0</v>
      </c>
      <c r="K51" s="105">
        <v>0</v>
      </c>
      <c r="L51" s="105">
        <v>0</v>
      </c>
      <c r="M51" s="105">
        <v>0</v>
      </c>
      <c r="N51" s="105">
        <v>0</v>
      </c>
      <c r="O51" s="99">
        <f t="shared" ref="O51" si="172">R51</f>
        <v>0</v>
      </c>
      <c r="P51" s="105">
        <v>0</v>
      </c>
      <c r="Q51" s="105">
        <v>0</v>
      </c>
      <c r="R51" s="105">
        <v>0</v>
      </c>
      <c r="S51" s="105">
        <v>0</v>
      </c>
      <c r="T51" s="99">
        <f t="shared" ref="T51" si="173">W51</f>
        <v>0</v>
      </c>
      <c r="U51" s="105">
        <v>0</v>
      </c>
      <c r="V51" s="105">
        <v>0</v>
      </c>
      <c r="W51" s="105">
        <v>0</v>
      </c>
      <c r="X51" s="105">
        <v>0</v>
      </c>
      <c r="Y51" s="99">
        <f t="shared" ref="Y51" si="174">AB51</f>
        <v>0</v>
      </c>
      <c r="Z51" s="105">
        <v>0</v>
      </c>
      <c r="AA51" s="105">
        <v>0</v>
      </c>
      <c r="AB51" s="105">
        <v>0</v>
      </c>
      <c r="AC51" s="105">
        <v>0</v>
      </c>
      <c r="AD51" s="99">
        <f t="shared" ref="AD51" si="175">AG51</f>
        <v>8854.2000000000007</v>
      </c>
      <c r="AE51" s="105">
        <v>0</v>
      </c>
      <c r="AF51" s="105">
        <v>0</v>
      </c>
      <c r="AG51" s="105">
        <v>8854.2000000000007</v>
      </c>
      <c r="AH51" s="105">
        <v>0</v>
      </c>
      <c r="AI51" s="99">
        <f t="shared" ref="AI51" si="176">AL51</f>
        <v>0</v>
      </c>
      <c r="AJ51" s="105">
        <v>0</v>
      </c>
      <c r="AK51" s="105">
        <v>0</v>
      </c>
      <c r="AL51" s="105">
        <v>0</v>
      </c>
      <c r="AM51" s="105"/>
      <c r="AN51" s="99">
        <f t="shared" ref="AN51" si="177">AQ51</f>
        <v>0</v>
      </c>
      <c r="AO51" s="105">
        <v>0</v>
      </c>
      <c r="AP51" s="105">
        <v>0</v>
      </c>
      <c r="AQ51" s="105">
        <v>0</v>
      </c>
      <c r="AR51" s="105"/>
      <c r="AS51" s="99">
        <f t="shared" ref="AS51" si="178">AV51</f>
        <v>0</v>
      </c>
      <c r="AT51" s="105">
        <v>0</v>
      </c>
      <c r="AU51" s="105">
        <v>0</v>
      </c>
      <c r="AV51" s="105">
        <v>0</v>
      </c>
      <c r="AW51" s="105"/>
      <c r="AX51" s="99">
        <f t="shared" ref="AX51" si="179">BA51</f>
        <v>0</v>
      </c>
      <c r="AY51" s="105">
        <v>0</v>
      </c>
      <c r="AZ51" s="105">
        <v>0</v>
      </c>
      <c r="BA51" s="105">
        <v>0</v>
      </c>
      <c r="BB51" s="105"/>
    </row>
    <row r="52" spans="1:54" ht="56.25" outlineLevel="3" x14ac:dyDescent="0.25">
      <c r="A52" s="100" t="s">
        <v>384</v>
      </c>
      <c r="B52" s="101" t="s">
        <v>385</v>
      </c>
      <c r="C52" s="106" t="s">
        <v>66</v>
      </c>
      <c r="D52" s="116" t="s">
        <v>6</v>
      </c>
      <c r="E52" s="103">
        <f t="shared" ref="E52" si="180">SUM(F52:I52)</f>
        <v>1293.5999999999999</v>
      </c>
      <c r="F52" s="104">
        <v>0</v>
      </c>
      <c r="G52" s="104">
        <v>0</v>
      </c>
      <c r="H52" s="104">
        <f t="shared" ref="H52" si="181">M52+R52+W52+AB52+AG52+AL52+AQ52+AV52+BA52</f>
        <v>1293.5999999999999</v>
      </c>
      <c r="I52" s="104">
        <v>0</v>
      </c>
      <c r="J52" s="99">
        <f t="shared" ref="J52" si="182">M52</f>
        <v>0</v>
      </c>
      <c r="K52" s="105">
        <v>0</v>
      </c>
      <c r="L52" s="105">
        <v>0</v>
      </c>
      <c r="M52" s="105">
        <v>0</v>
      </c>
      <c r="N52" s="105">
        <v>0</v>
      </c>
      <c r="O52" s="99">
        <f t="shared" ref="O52" si="183">R52</f>
        <v>0</v>
      </c>
      <c r="P52" s="105">
        <v>0</v>
      </c>
      <c r="Q52" s="105">
        <v>0</v>
      </c>
      <c r="R52" s="105">
        <v>0</v>
      </c>
      <c r="S52" s="105">
        <v>0</v>
      </c>
      <c r="T52" s="99">
        <f t="shared" ref="T52" si="184">W52</f>
        <v>0</v>
      </c>
      <c r="U52" s="105">
        <v>0</v>
      </c>
      <c r="V52" s="105">
        <v>0</v>
      </c>
      <c r="W52" s="105">
        <v>0</v>
      </c>
      <c r="X52" s="105">
        <v>0</v>
      </c>
      <c r="Y52" s="99">
        <f t="shared" ref="Y52" si="185">AB52</f>
        <v>0</v>
      </c>
      <c r="Z52" s="105">
        <v>0</v>
      </c>
      <c r="AA52" s="105">
        <v>0</v>
      </c>
      <c r="AB52" s="105">
        <v>0</v>
      </c>
      <c r="AC52" s="105">
        <v>0</v>
      </c>
      <c r="AD52" s="99">
        <f t="shared" ref="AD52" si="186">AG52</f>
        <v>1293.5999999999999</v>
      </c>
      <c r="AE52" s="105">
        <v>0</v>
      </c>
      <c r="AF52" s="105">
        <v>0</v>
      </c>
      <c r="AG52" s="105">
        <v>1293.5999999999999</v>
      </c>
      <c r="AH52" s="105">
        <v>0</v>
      </c>
      <c r="AI52" s="99">
        <f t="shared" ref="AI52" si="187">AL52</f>
        <v>0</v>
      </c>
      <c r="AJ52" s="105">
        <v>0</v>
      </c>
      <c r="AK52" s="105">
        <v>0</v>
      </c>
      <c r="AL52" s="105">
        <v>0</v>
      </c>
      <c r="AM52" s="105"/>
      <c r="AN52" s="99">
        <f t="shared" ref="AN52" si="188">AQ52</f>
        <v>0</v>
      </c>
      <c r="AO52" s="105">
        <v>0</v>
      </c>
      <c r="AP52" s="105">
        <v>0</v>
      </c>
      <c r="AQ52" s="105">
        <v>0</v>
      </c>
      <c r="AR52" s="105"/>
      <c r="AS52" s="99">
        <f t="shared" ref="AS52" si="189">AV52</f>
        <v>0</v>
      </c>
      <c r="AT52" s="105">
        <v>0</v>
      </c>
      <c r="AU52" s="105">
        <v>0</v>
      </c>
      <c r="AV52" s="105">
        <v>0</v>
      </c>
      <c r="AW52" s="105"/>
      <c r="AX52" s="99">
        <f t="shared" ref="AX52" si="190">BA52</f>
        <v>0</v>
      </c>
      <c r="AY52" s="105">
        <v>0</v>
      </c>
      <c r="AZ52" s="105">
        <v>0</v>
      </c>
      <c r="BA52" s="105">
        <v>0</v>
      </c>
      <c r="BB52" s="105"/>
    </row>
    <row r="53" spans="1:54" ht="93.75" outlineLevel="3" x14ac:dyDescent="0.25">
      <c r="A53" s="100" t="s">
        <v>386</v>
      </c>
      <c r="B53" s="101" t="s">
        <v>431</v>
      </c>
      <c r="C53" s="106" t="s">
        <v>66</v>
      </c>
      <c r="D53" s="106" t="s">
        <v>36</v>
      </c>
      <c r="E53" s="103">
        <f t="shared" ref="E53" si="191">SUM(F53:I53)</f>
        <v>600</v>
      </c>
      <c r="F53" s="104">
        <v>0</v>
      </c>
      <c r="G53" s="104">
        <v>0</v>
      </c>
      <c r="H53" s="104">
        <f t="shared" ref="H53" si="192">M53+R53+W53+AB53+AG53+AL53+AQ53+AV53+BA53</f>
        <v>600</v>
      </c>
      <c r="I53" s="104">
        <v>0</v>
      </c>
      <c r="J53" s="99">
        <f t="shared" ref="J53" si="193">M53</f>
        <v>0</v>
      </c>
      <c r="K53" s="105">
        <v>0</v>
      </c>
      <c r="L53" s="105">
        <v>0</v>
      </c>
      <c r="M53" s="105">
        <v>0</v>
      </c>
      <c r="N53" s="105">
        <v>0</v>
      </c>
      <c r="O53" s="99">
        <f t="shared" ref="O53" si="194">R53</f>
        <v>0</v>
      </c>
      <c r="P53" s="105">
        <v>0</v>
      </c>
      <c r="Q53" s="105">
        <v>0</v>
      </c>
      <c r="R53" s="105">
        <v>0</v>
      </c>
      <c r="S53" s="105">
        <v>0</v>
      </c>
      <c r="T53" s="99">
        <f t="shared" ref="T53" si="195">W53</f>
        <v>0</v>
      </c>
      <c r="U53" s="105">
        <v>0</v>
      </c>
      <c r="V53" s="105">
        <v>0</v>
      </c>
      <c r="W53" s="105">
        <v>0</v>
      </c>
      <c r="X53" s="105">
        <v>0</v>
      </c>
      <c r="Y53" s="99">
        <f t="shared" ref="Y53" si="196">AB53</f>
        <v>0</v>
      </c>
      <c r="Z53" s="105">
        <v>0</v>
      </c>
      <c r="AA53" s="105">
        <v>0</v>
      </c>
      <c r="AB53" s="105">
        <v>0</v>
      </c>
      <c r="AC53" s="105">
        <v>0</v>
      </c>
      <c r="AD53" s="99">
        <f t="shared" ref="AD53" si="197">AG53</f>
        <v>600</v>
      </c>
      <c r="AE53" s="105">
        <v>0</v>
      </c>
      <c r="AF53" s="105">
        <v>0</v>
      </c>
      <c r="AG53" s="105">
        <v>600</v>
      </c>
      <c r="AH53" s="105">
        <v>0</v>
      </c>
      <c r="AI53" s="99">
        <f t="shared" ref="AI53" si="198">AL53</f>
        <v>0</v>
      </c>
      <c r="AJ53" s="105">
        <v>0</v>
      </c>
      <c r="AK53" s="105">
        <v>0</v>
      </c>
      <c r="AL53" s="105">
        <v>0</v>
      </c>
      <c r="AM53" s="105"/>
      <c r="AN53" s="99">
        <f t="shared" ref="AN53" si="199">AQ53</f>
        <v>0</v>
      </c>
      <c r="AO53" s="105">
        <v>0</v>
      </c>
      <c r="AP53" s="105">
        <v>0</v>
      </c>
      <c r="AQ53" s="105">
        <v>0</v>
      </c>
      <c r="AR53" s="105"/>
      <c r="AS53" s="99">
        <f t="shared" ref="AS53" si="200">AV53</f>
        <v>0</v>
      </c>
      <c r="AT53" s="105">
        <v>0</v>
      </c>
      <c r="AU53" s="105">
        <v>0</v>
      </c>
      <c r="AV53" s="105">
        <v>0</v>
      </c>
      <c r="AW53" s="105"/>
      <c r="AX53" s="99">
        <f t="shared" ref="AX53" si="201">BA53</f>
        <v>0</v>
      </c>
      <c r="AY53" s="105">
        <v>0</v>
      </c>
      <c r="AZ53" s="105">
        <v>0</v>
      </c>
      <c r="BA53" s="105">
        <v>0</v>
      </c>
      <c r="BB53" s="105"/>
    </row>
    <row r="54" spans="1:54" ht="56.25" outlineLevel="3" x14ac:dyDescent="0.25">
      <c r="A54" s="100" t="s">
        <v>434</v>
      </c>
      <c r="B54" s="101" t="s">
        <v>432</v>
      </c>
      <c r="C54" s="106" t="s">
        <v>66</v>
      </c>
      <c r="D54" s="106" t="s">
        <v>36</v>
      </c>
      <c r="E54" s="103">
        <f t="shared" ref="E54" si="202">SUM(F54:I54)</f>
        <v>104.7</v>
      </c>
      <c r="F54" s="104">
        <v>0</v>
      </c>
      <c r="G54" s="104">
        <v>0</v>
      </c>
      <c r="H54" s="104">
        <f t="shared" ref="H54" si="203">M54+R54+W54+AB54+AG54+AL54+AQ54+AV54+BA54</f>
        <v>104.7</v>
      </c>
      <c r="I54" s="104">
        <v>0</v>
      </c>
      <c r="J54" s="99">
        <f t="shared" ref="J54" si="204">M54</f>
        <v>0</v>
      </c>
      <c r="K54" s="105">
        <v>0</v>
      </c>
      <c r="L54" s="105">
        <v>0</v>
      </c>
      <c r="M54" s="105">
        <v>0</v>
      </c>
      <c r="N54" s="105">
        <v>0</v>
      </c>
      <c r="O54" s="99">
        <f t="shared" ref="O54" si="205">R54</f>
        <v>0</v>
      </c>
      <c r="P54" s="105">
        <v>0</v>
      </c>
      <c r="Q54" s="105">
        <v>0</v>
      </c>
      <c r="R54" s="105">
        <v>0</v>
      </c>
      <c r="S54" s="105">
        <v>0</v>
      </c>
      <c r="T54" s="99">
        <f t="shared" ref="T54" si="206">W54</f>
        <v>0</v>
      </c>
      <c r="U54" s="105">
        <v>0</v>
      </c>
      <c r="V54" s="105">
        <v>0</v>
      </c>
      <c r="W54" s="105">
        <v>0</v>
      </c>
      <c r="X54" s="105">
        <v>0</v>
      </c>
      <c r="Y54" s="99">
        <f t="shared" ref="Y54" si="207">AB54</f>
        <v>0</v>
      </c>
      <c r="Z54" s="105">
        <v>0</v>
      </c>
      <c r="AA54" s="105">
        <v>0</v>
      </c>
      <c r="AB54" s="105">
        <v>0</v>
      </c>
      <c r="AC54" s="105">
        <v>0</v>
      </c>
      <c r="AD54" s="99">
        <f t="shared" ref="AD54" si="208">AG54</f>
        <v>104.7</v>
      </c>
      <c r="AE54" s="105">
        <v>0</v>
      </c>
      <c r="AF54" s="105">
        <v>0</v>
      </c>
      <c r="AG54" s="105">
        <v>104.7</v>
      </c>
      <c r="AH54" s="105">
        <v>0</v>
      </c>
      <c r="AI54" s="99">
        <f t="shared" ref="AI54" si="209">AL54</f>
        <v>0</v>
      </c>
      <c r="AJ54" s="105">
        <v>0</v>
      </c>
      <c r="AK54" s="105">
        <v>0</v>
      </c>
      <c r="AL54" s="105">
        <v>0</v>
      </c>
      <c r="AM54" s="105"/>
      <c r="AN54" s="99">
        <f t="shared" ref="AN54" si="210">AQ54</f>
        <v>0</v>
      </c>
      <c r="AO54" s="105">
        <v>0</v>
      </c>
      <c r="AP54" s="105">
        <v>0</v>
      </c>
      <c r="AQ54" s="105">
        <v>0</v>
      </c>
      <c r="AR54" s="105"/>
      <c r="AS54" s="99">
        <f t="shared" ref="AS54" si="211">AV54</f>
        <v>0</v>
      </c>
      <c r="AT54" s="105">
        <v>0</v>
      </c>
      <c r="AU54" s="105">
        <v>0</v>
      </c>
      <c r="AV54" s="105">
        <v>0</v>
      </c>
      <c r="AW54" s="105"/>
      <c r="AX54" s="99">
        <f t="shared" ref="AX54" si="212">BA54</f>
        <v>0</v>
      </c>
      <c r="AY54" s="105">
        <v>0</v>
      </c>
      <c r="AZ54" s="105">
        <v>0</v>
      </c>
      <c r="BA54" s="105">
        <v>0</v>
      </c>
      <c r="BB54" s="105"/>
    </row>
    <row r="55" spans="1:54" ht="56.25" outlineLevel="3" x14ac:dyDescent="0.25">
      <c r="A55" s="100" t="s">
        <v>435</v>
      </c>
      <c r="B55" s="101" t="s">
        <v>433</v>
      </c>
      <c r="C55" s="106" t="s">
        <v>66</v>
      </c>
      <c r="D55" s="106" t="s">
        <v>36</v>
      </c>
      <c r="E55" s="103">
        <f t="shared" ref="E55" si="213">SUM(F55:I55)</f>
        <v>675.4</v>
      </c>
      <c r="F55" s="104">
        <v>0</v>
      </c>
      <c r="G55" s="104">
        <v>0</v>
      </c>
      <c r="H55" s="104">
        <f t="shared" ref="H55" si="214">M55+R55+W55+AB55+AG55+AL55+AQ55+AV55+BA55</f>
        <v>675.4</v>
      </c>
      <c r="I55" s="104">
        <v>0</v>
      </c>
      <c r="J55" s="99">
        <f t="shared" ref="J55" si="215">M55</f>
        <v>0</v>
      </c>
      <c r="K55" s="105">
        <v>0</v>
      </c>
      <c r="L55" s="105">
        <v>0</v>
      </c>
      <c r="M55" s="105">
        <v>0</v>
      </c>
      <c r="N55" s="105">
        <v>0</v>
      </c>
      <c r="O55" s="99">
        <f t="shared" ref="O55" si="216">R55</f>
        <v>0</v>
      </c>
      <c r="P55" s="105">
        <v>0</v>
      </c>
      <c r="Q55" s="105">
        <v>0</v>
      </c>
      <c r="R55" s="105">
        <v>0</v>
      </c>
      <c r="S55" s="105">
        <v>0</v>
      </c>
      <c r="T55" s="99">
        <f t="shared" ref="T55" si="217">W55</f>
        <v>0</v>
      </c>
      <c r="U55" s="105">
        <v>0</v>
      </c>
      <c r="V55" s="105">
        <v>0</v>
      </c>
      <c r="W55" s="105">
        <v>0</v>
      </c>
      <c r="X55" s="105">
        <v>0</v>
      </c>
      <c r="Y55" s="99">
        <f t="shared" ref="Y55" si="218">AB55</f>
        <v>0</v>
      </c>
      <c r="Z55" s="105">
        <v>0</v>
      </c>
      <c r="AA55" s="105">
        <v>0</v>
      </c>
      <c r="AB55" s="105">
        <v>0</v>
      </c>
      <c r="AC55" s="105">
        <v>0</v>
      </c>
      <c r="AD55" s="99">
        <f t="shared" ref="AD55" si="219">AG55</f>
        <v>675.4</v>
      </c>
      <c r="AE55" s="105">
        <v>0</v>
      </c>
      <c r="AF55" s="105">
        <v>0</v>
      </c>
      <c r="AG55" s="105">
        <v>675.4</v>
      </c>
      <c r="AH55" s="105">
        <v>0</v>
      </c>
      <c r="AI55" s="99">
        <f t="shared" ref="AI55" si="220">AL55</f>
        <v>0</v>
      </c>
      <c r="AJ55" s="105">
        <v>0</v>
      </c>
      <c r="AK55" s="105">
        <v>0</v>
      </c>
      <c r="AL55" s="105">
        <v>0</v>
      </c>
      <c r="AM55" s="105"/>
      <c r="AN55" s="99">
        <f t="shared" ref="AN55" si="221">AQ55</f>
        <v>0</v>
      </c>
      <c r="AO55" s="105">
        <v>0</v>
      </c>
      <c r="AP55" s="105">
        <v>0</v>
      </c>
      <c r="AQ55" s="105">
        <v>0</v>
      </c>
      <c r="AR55" s="105"/>
      <c r="AS55" s="99">
        <f t="shared" ref="AS55" si="222">AV55</f>
        <v>0</v>
      </c>
      <c r="AT55" s="105">
        <v>0</v>
      </c>
      <c r="AU55" s="105">
        <v>0</v>
      </c>
      <c r="AV55" s="105">
        <v>0</v>
      </c>
      <c r="AW55" s="105"/>
      <c r="AX55" s="99">
        <f t="shared" ref="AX55" si="223">BA55</f>
        <v>0</v>
      </c>
      <c r="AY55" s="105">
        <v>0</v>
      </c>
      <c r="AZ55" s="105">
        <v>0</v>
      </c>
      <c r="BA55" s="105">
        <v>0</v>
      </c>
      <c r="BB55" s="105"/>
    </row>
    <row r="56" spans="1:54" ht="93.75" outlineLevel="3" x14ac:dyDescent="0.25">
      <c r="A56" s="100" t="s">
        <v>442</v>
      </c>
      <c r="B56" s="101" t="s">
        <v>443</v>
      </c>
      <c r="C56" s="106" t="s">
        <v>66</v>
      </c>
      <c r="D56" s="106" t="s">
        <v>36</v>
      </c>
      <c r="E56" s="103">
        <f t="shared" ref="E56" si="224">SUM(F56:I56)</f>
        <v>595</v>
      </c>
      <c r="F56" s="104">
        <v>0</v>
      </c>
      <c r="G56" s="104">
        <v>0</v>
      </c>
      <c r="H56" s="104">
        <f t="shared" ref="H56" si="225">M56+R56+W56+AB56+AG56+AL56+AQ56+AV56+BA56</f>
        <v>595</v>
      </c>
      <c r="I56" s="104">
        <v>0</v>
      </c>
      <c r="J56" s="99">
        <f t="shared" ref="J56" si="226">M56</f>
        <v>0</v>
      </c>
      <c r="K56" s="105">
        <v>0</v>
      </c>
      <c r="L56" s="105">
        <v>0</v>
      </c>
      <c r="M56" s="105">
        <v>0</v>
      </c>
      <c r="N56" s="105">
        <v>0</v>
      </c>
      <c r="O56" s="99">
        <f t="shared" ref="O56" si="227">R56</f>
        <v>0</v>
      </c>
      <c r="P56" s="105">
        <v>0</v>
      </c>
      <c r="Q56" s="105">
        <v>0</v>
      </c>
      <c r="R56" s="105">
        <v>0</v>
      </c>
      <c r="S56" s="105">
        <v>0</v>
      </c>
      <c r="T56" s="99">
        <f t="shared" ref="T56" si="228">W56</f>
        <v>0</v>
      </c>
      <c r="U56" s="105">
        <v>0</v>
      </c>
      <c r="V56" s="105">
        <v>0</v>
      </c>
      <c r="W56" s="105">
        <v>0</v>
      </c>
      <c r="X56" s="105">
        <v>0</v>
      </c>
      <c r="Y56" s="99">
        <f t="shared" ref="Y56" si="229">AB56</f>
        <v>0</v>
      </c>
      <c r="Z56" s="105">
        <v>0</v>
      </c>
      <c r="AA56" s="105">
        <v>0</v>
      </c>
      <c r="AB56" s="105">
        <v>0</v>
      </c>
      <c r="AC56" s="105">
        <v>0</v>
      </c>
      <c r="AD56" s="99">
        <f t="shared" ref="AD56" si="230">AG56</f>
        <v>595</v>
      </c>
      <c r="AE56" s="105">
        <v>0</v>
      </c>
      <c r="AF56" s="105">
        <v>0</v>
      </c>
      <c r="AG56" s="105">
        <v>595</v>
      </c>
      <c r="AH56" s="105">
        <v>0</v>
      </c>
      <c r="AI56" s="99">
        <f t="shared" ref="AI56" si="231">AL56</f>
        <v>0</v>
      </c>
      <c r="AJ56" s="105">
        <v>0</v>
      </c>
      <c r="AK56" s="105">
        <v>0</v>
      </c>
      <c r="AL56" s="105">
        <v>0</v>
      </c>
      <c r="AM56" s="105"/>
      <c r="AN56" s="99">
        <f t="shared" ref="AN56" si="232">AQ56</f>
        <v>0</v>
      </c>
      <c r="AO56" s="105">
        <v>0</v>
      </c>
      <c r="AP56" s="105">
        <v>0</v>
      </c>
      <c r="AQ56" s="105">
        <v>0</v>
      </c>
      <c r="AR56" s="105"/>
      <c r="AS56" s="99">
        <f t="shared" ref="AS56" si="233">AV56</f>
        <v>0</v>
      </c>
      <c r="AT56" s="105">
        <v>0</v>
      </c>
      <c r="AU56" s="105">
        <v>0</v>
      </c>
      <c r="AV56" s="105">
        <v>0</v>
      </c>
      <c r="AW56" s="105"/>
      <c r="AX56" s="99">
        <f t="shared" ref="AX56" si="234">BA56</f>
        <v>0</v>
      </c>
      <c r="AY56" s="105">
        <v>0</v>
      </c>
      <c r="AZ56" s="105">
        <v>0</v>
      </c>
      <c r="BA56" s="105">
        <v>0</v>
      </c>
      <c r="BB56" s="105"/>
    </row>
    <row r="57" spans="1:54" outlineLevel="3" x14ac:dyDescent="0.25">
      <c r="A57" s="100" t="s">
        <v>166</v>
      </c>
      <c r="B57" s="193" t="s">
        <v>327</v>
      </c>
      <c r="C57" s="194"/>
      <c r="D57" s="195"/>
      <c r="E57" s="103">
        <f t="shared" ref="E57:AJ57" si="235">SUM(E58:E67)</f>
        <v>8530.5</v>
      </c>
      <c r="F57" s="103">
        <f t="shared" si="235"/>
        <v>0</v>
      </c>
      <c r="G57" s="103">
        <f t="shared" si="235"/>
        <v>0</v>
      </c>
      <c r="H57" s="103">
        <f t="shared" si="235"/>
        <v>8530.5</v>
      </c>
      <c r="I57" s="103">
        <f t="shared" si="235"/>
        <v>0</v>
      </c>
      <c r="J57" s="103">
        <f t="shared" si="235"/>
        <v>0</v>
      </c>
      <c r="K57" s="103">
        <f t="shared" si="235"/>
        <v>0</v>
      </c>
      <c r="L57" s="103">
        <f t="shared" si="235"/>
        <v>0</v>
      </c>
      <c r="M57" s="103">
        <f t="shared" si="235"/>
        <v>0</v>
      </c>
      <c r="N57" s="103">
        <f t="shared" si="235"/>
        <v>0</v>
      </c>
      <c r="O57" s="103">
        <f t="shared" si="235"/>
        <v>0</v>
      </c>
      <c r="P57" s="103">
        <f t="shared" si="235"/>
        <v>0</v>
      </c>
      <c r="Q57" s="103">
        <f t="shared" si="235"/>
        <v>0</v>
      </c>
      <c r="R57" s="103">
        <f t="shared" si="235"/>
        <v>0</v>
      </c>
      <c r="S57" s="103">
        <f t="shared" si="235"/>
        <v>0</v>
      </c>
      <c r="T57" s="103">
        <f t="shared" si="235"/>
        <v>3026.2999999999997</v>
      </c>
      <c r="U57" s="103">
        <f t="shared" si="235"/>
        <v>0</v>
      </c>
      <c r="V57" s="103">
        <f t="shared" si="235"/>
        <v>0</v>
      </c>
      <c r="W57" s="103">
        <f t="shared" si="235"/>
        <v>3026.2999999999997</v>
      </c>
      <c r="X57" s="103">
        <f t="shared" si="235"/>
        <v>0</v>
      </c>
      <c r="Y57" s="103">
        <f t="shared" si="235"/>
        <v>996.9</v>
      </c>
      <c r="Z57" s="103">
        <f t="shared" si="235"/>
        <v>0</v>
      </c>
      <c r="AA57" s="103">
        <f t="shared" si="235"/>
        <v>0</v>
      </c>
      <c r="AB57" s="103">
        <f t="shared" si="235"/>
        <v>996.9</v>
      </c>
      <c r="AC57" s="103">
        <f t="shared" si="235"/>
        <v>0</v>
      </c>
      <c r="AD57" s="103">
        <f t="shared" si="235"/>
        <v>4507.3</v>
      </c>
      <c r="AE57" s="103">
        <f t="shared" si="235"/>
        <v>0</v>
      </c>
      <c r="AF57" s="103">
        <f t="shared" si="235"/>
        <v>0</v>
      </c>
      <c r="AG57" s="103">
        <f t="shared" si="235"/>
        <v>4507.3</v>
      </c>
      <c r="AH57" s="103">
        <f t="shared" si="235"/>
        <v>0</v>
      </c>
      <c r="AI57" s="103">
        <f t="shared" si="235"/>
        <v>0</v>
      </c>
      <c r="AJ57" s="103">
        <f t="shared" si="235"/>
        <v>0</v>
      </c>
      <c r="AK57" s="103">
        <f t="shared" ref="AK57:BB57" si="236">SUM(AK58:AK67)</f>
        <v>0</v>
      </c>
      <c r="AL57" s="103">
        <f t="shared" si="236"/>
        <v>0</v>
      </c>
      <c r="AM57" s="103">
        <f t="shared" si="236"/>
        <v>0</v>
      </c>
      <c r="AN57" s="103">
        <f t="shared" si="236"/>
        <v>0</v>
      </c>
      <c r="AO57" s="103">
        <f t="shared" si="236"/>
        <v>0</v>
      </c>
      <c r="AP57" s="103">
        <f t="shared" si="236"/>
        <v>0</v>
      </c>
      <c r="AQ57" s="103">
        <f t="shared" si="236"/>
        <v>0</v>
      </c>
      <c r="AR57" s="103">
        <f t="shared" si="236"/>
        <v>0</v>
      </c>
      <c r="AS57" s="103">
        <f t="shared" si="236"/>
        <v>0</v>
      </c>
      <c r="AT57" s="103">
        <f t="shared" si="236"/>
        <v>0</v>
      </c>
      <c r="AU57" s="103">
        <f t="shared" si="236"/>
        <v>0</v>
      </c>
      <c r="AV57" s="103">
        <f t="shared" si="236"/>
        <v>0</v>
      </c>
      <c r="AW57" s="103">
        <f t="shared" si="236"/>
        <v>0</v>
      </c>
      <c r="AX57" s="103">
        <f t="shared" si="236"/>
        <v>0</v>
      </c>
      <c r="AY57" s="103">
        <f t="shared" si="236"/>
        <v>0</v>
      </c>
      <c r="AZ57" s="103">
        <f t="shared" si="236"/>
        <v>0</v>
      </c>
      <c r="BA57" s="103">
        <f t="shared" si="236"/>
        <v>0</v>
      </c>
      <c r="BB57" s="103">
        <f t="shared" si="236"/>
        <v>0</v>
      </c>
    </row>
    <row r="58" spans="1:54" ht="75" outlineLevel="3" x14ac:dyDescent="0.25">
      <c r="A58" s="100" t="s">
        <v>167</v>
      </c>
      <c r="B58" s="101" t="s">
        <v>347</v>
      </c>
      <c r="C58" s="106" t="s">
        <v>66</v>
      </c>
      <c r="D58" s="106" t="s">
        <v>36</v>
      </c>
      <c r="E58" s="103">
        <f t="shared" si="136"/>
        <v>3026.2999999999997</v>
      </c>
      <c r="F58" s="104">
        <v>0</v>
      </c>
      <c r="G58" s="104">
        <v>0</v>
      </c>
      <c r="H58" s="104">
        <f t="shared" si="138"/>
        <v>3026.2999999999997</v>
      </c>
      <c r="I58" s="104">
        <v>0</v>
      </c>
      <c r="J58" s="99">
        <f>M58</f>
        <v>0</v>
      </c>
      <c r="K58" s="105">
        <v>0</v>
      </c>
      <c r="L58" s="105">
        <v>0</v>
      </c>
      <c r="M58" s="105">
        <v>0</v>
      </c>
      <c r="N58" s="105">
        <v>0</v>
      </c>
      <c r="O58" s="99">
        <f>R58</f>
        <v>0</v>
      </c>
      <c r="P58" s="105">
        <v>0</v>
      </c>
      <c r="Q58" s="105">
        <v>0</v>
      </c>
      <c r="R58" s="105">
        <v>0</v>
      </c>
      <c r="S58" s="105">
        <v>0</v>
      </c>
      <c r="T58" s="99">
        <f>W58</f>
        <v>3026.2999999999997</v>
      </c>
      <c r="U58" s="105">
        <v>0</v>
      </c>
      <c r="V58" s="105">
        <v>0</v>
      </c>
      <c r="W58" s="105">
        <f>2774.6+251.7</f>
        <v>3026.2999999999997</v>
      </c>
      <c r="X58" s="105">
        <v>0</v>
      </c>
      <c r="Y58" s="99">
        <f>AB58</f>
        <v>0</v>
      </c>
      <c r="Z58" s="105">
        <v>0</v>
      </c>
      <c r="AA58" s="105">
        <v>0</v>
      </c>
      <c r="AB58" s="105">
        <v>0</v>
      </c>
      <c r="AC58" s="105">
        <v>0</v>
      </c>
      <c r="AD58" s="99">
        <f>AG58</f>
        <v>0</v>
      </c>
      <c r="AE58" s="105">
        <v>0</v>
      </c>
      <c r="AF58" s="105">
        <v>0</v>
      </c>
      <c r="AG58" s="105">
        <v>0</v>
      </c>
      <c r="AH58" s="105">
        <v>0</v>
      </c>
      <c r="AI58" s="99">
        <f>AL58</f>
        <v>0</v>
      </c>
      <c r="AJ58" s="105">
        <v>0</v>
      </c>
      <c r="AK58" s="105">
        <v>0</v>
      </c>
      <c r="AL58" s="105">
        <v>0</v>
      </c>
      <c r="AM58" s="105">
        <v>0</v>
      </c>
      <c r="AN58" s="99">
        <f>AQ58</f>
        <v>0</v>
      </c>
      <c r="AO58" s="105">
        <v>0</v>
      </c>
      <c r="AP58" s="105">
        <v>0</v>
      </c>
      <c r="AQ58" s="105">
        <v>0</v>
      </c>
      <c r="AR58" s="105">
        <v>0</v>
      </c>
      <c r="AS58" s="99">
        <f>AV58</f>
        <v>0</v>
      </c>
      <c r="AT58" s="105">
        <v>0</v>
      </c>
      <c r="AU58" s="105">
        <v>0</v>
      </c>
      <c r="AV58" s="105">
        <v>0</v>
      </c>
      <c r="AW58" s="105">
        <v>0</v>
      </c>
      <c r="AX58" s="99">
        <f>BA58</f>
        <v>0</v>
      </c>
      <c r="AY58" s="105">
        <v>0</v>
      </c>
      <c r="AZ58" s="105">
        <v>0</v>
      </c>
      <c r="BA58" s="105">
        <v>0</v>
      </c>
      <c r="BB58" s="105">
        <v>0</v>
      </c>
    </row>
    <row r="59" spans="1:54" ht="75" outlineLevel="3" x14ac:dyDescent="0.25">
      <c r="A59" s="100" t="s">
        <v>363</v>
      </c>
      <c r="B59" s="101" t="s">
        <v>373</v>
      </c>
      <c r="C59" s="106" t="s">
        <v>66</v>
      </c>
      <c r="D59" s="106" t="s">
        <v>36</v>
      </c>
      <c r="E59" s="103">
        <f t="shared" ref="E59" si="237">SUM(F59:I59)</f>
        <v>996.9</v>
      </c>
      <c r="F59" s="104">
        <v>0</v>
      </c>
      <c r="G59" s="104">
        <v>0</v>
      </c>
      <c r="H59" s="104">
        <f t="shared" si="138"/>
        <v>996.9</v>
      </c>
      <c r="I59" s="104">
        <v>0</v>
      </c>
      <c r="J59" s="99">
        <f>M59</f>
        <v>0</v>
      </c>
      <c r="K59" s="105">
        <v>0</v>
      </c>
      <c r="L59" s="105">
        <v>0</v>
      </c>
      <c r="M59" s="105">
        <v>0</v>
      </c>
      <c r="N59" s="105">
        <v>0</v>
      </c>
      <c r="O59" s="99">
        <f>R59</f>
        <v>0</v>
      </c>
      <c r="P59" s="105">
        <v>0</v>
      </c>
      <c r="Q59" s="105">
        <v>0</v>
      </c>
      <c r="R59" s="105">
        <v>0</v>
      </c>
      <c r="S59" s="105">
        <v>0</v>
      </c>
      <c r="T59" s="99">
        <f>W59</f>
        <v>0</v>
      </c>
      <c r="U59" s="105">
        <v>0</v>
      </c>
      <c r="V59" s="105">
        <v>0</v>
      </c>
      <c r="W59" s="105">
        <v>0</v>
      </c>
      <c r="X59" s="105">
        <v>0</v>
      </c>
      <c r="Y59" s="99">
        <f>AB59</f>
        <v>996.9</v>
      </c>
      <c r="Z59" s="105">
        <v>0</v>
      </c>
      <c r="AA59" s="105">
        <v>0</v>
      </c>
      <c r="AB59" s="105">
        <v>996.9</v>
      </c>
      <c r="AC59" s="105">
        <v>0</v>
      </c>
      <c r="AD59" s="99">
        <f>AG59</f>
        <v>0</v>
      </c>
      <c r="AE59" s="105">
        <v>0</v>
      </c>
      <c r="AF59" s="105">
        <v>0</v>
      </c>
      <c r="AG59" s="105">
        <v>0</v>
      </c>
      <c r="AH59" s="105">
        <v>0</v>
      </c>
      <c r="AI59" s="99">
        <f>AL59</f>
        <v>0</v>
      </c>
      <c r="AJ59" s="105">
        <v>0</v>
      </c>
      <c r="AK59" s="105">
        <v>0</v>
      </c>
      <c r="AL59" s="105">
        <v>0</v>
      </c>
      <c r="AM59" s="105">
        <v>0</v>
      </c>
      <c r="AN59" s="99">
        <f>AQ59</f>
        <v>0</v>
      </c>
      <c r="AO59" s="105">
        <v>0</v>
      </c>
      <c r="AP59" s="105">
        <v>0</v>
      </c>
      <c r="AQ59" s="105">
        <v>0</v>
      </c>
      <c r="AR59" s="105">
        <v>0</v>
      </c>
      <c r="AS59" s="99">
        <f>AV59</f>
        <v>0</v>
      </c>
      <c r="AT59" s="105">
        <v>0</v>
      </c>
      <c r="AU59" s="105">
        <v>0</v>
      </c>
      <c r="AV59" s="105">
        <v>0</v>
      </c>
      <c r="AW59" s="105">
        <v>0</v>
      </c>
      <c r="AX59" s="99">
        <f>BA59</f>
        <v>0</v>
      </c>
      <c r="AY59" s="105">
        <v>0</v>
      </c>
      <c r="AZ59" s="105">
        <v>0</v>
      </c>
      <c r="BA59" s="105">
        <v>0</v>
      </c>
      <c r="BB59" s="105">
        <v>0</v>
      </c>
    </row>
    <row r="60" spans="1:54" ht="56.25" outlineLevel="3" x14ac:dyDescent="0.25">
      <c r="A60" s="100" t="s">
        <v>407</v>
      </c>
      <c r="B60" s="101" t="s">
        <v>401</v>
      </c>
      <c r="C60" s="106" t="s">
        <v>66</v>
      </c>
      <c r="D60" s="116" t="s">
        <v>6</v>
      </c>
      <c r="E60" s="103">
        <f t="shared" ref="E60:E65" si="238">SUM(F60:I60)</f>
        <v>561</v>
      </c>
      <c r="F60" s="104">
        <v>0</v>
      </c>
      <c r="G60" s="104">
        <v>0</v>
      </c>
      <c r="H60" s="104">
        <f t="shared" ref="H60:H65" si="239">M60+R60+W60+AB60+AG60+AL60+AQ60+AV60+BA60</f>
        <v>561</v>
      </c>
      <c r="I60" s="104">
        <v>0</v>
      </c>
      <c r="J60" s="99">
        <f t="shared" ref="J60:J65" si="240">M60</f>
        <v>0</v>
      </c>
      <c r="K60" s="105">
        <v>0</v>
      </c>
      <c r="L60" s="105">
        <v>0</v>
      </c>
      <c r="M60" s="105">
        <v>0</v>
      </c>
      <c r="N60" s="105">
        <v>0</v>
      </c>
      <c r="O60" s="99">
        <f t="shared" ref="O60:O65" si="241">R60</f>
        <v>0</v>
      </c>
      <c r="P60" s="105">
        <v>0</v>
      </c>
      <c r="Q60" s="105">
        <v>0</v>
      </c>
      <c r="R60" s="105">
        <v>0</v>
      </c>
      <c r="S60" s="105">
        <v>0</v>
      </c>
      <c r="T60" s="99">
        <f t="shared" ref="T60:T65" si="242">W60</f>
        <v>0</v>
      </c>
      <c r="U60" s="105">
        <v>0</v>
      </c>
      <c r="V60" s="105">
        <v>0</v>
      </c>
      <c r="W60" s="105">
        <v>0</v>
      </c>
      <c r="X60" s="105">
        <v>0</v>
      </c>
      <c r="Y60" s="99">
        <f t="shared" ref="Y60:Y65" si="243">AB60</f>
        <v>0</v>
      </c>
      <c r="Z60" s="105"/>
      <c r="AA60" s="105">
        <v>0</v>
      </c>
      <c r="AB60" s="105">
        <v>0</v>
      </c>
      <c r="AC60" s="105">
        <v>0</v>
      </c>
      <c r="AD60" s="99">
        <f>AG60</f>
        <v>561</v>
      </c>
      <c r="AE60" s="105"/>
      <c r="AF60" s="105">
        <v>0</v>
      </c>
      <c r="AG60" s="105">
        <v>561</v>
      </c>
      <c r="AH60" s="105">
        <v>0</v>
      </c>
      <c r="AI60" s="99">
        <f t="shared" ref="AI60:AI65" si="244">AL60</f>
        <v>0</v>
      </c>
      <c r="AJ60" s="105">
        <v>0</v>
      </c>
      <c r="AK60" s="105">
        <v>0</v>
      </c>
      <c r="AL60" s="105">
        <v>0</v>
      </c>
      <c r="AM60" s="105">
        <v>0</v>
      </c>
      <c r="AN60" s="99">
        <f t="shared" ref="AN60:AN65" si="245">AQ60</f>
        <v>0</v>
      </c>
      <c r="AO60" s="105">
        <v>0</v>
      </c>
      <c r="AP60" s="105">
        <v>0</v>
      </c>
      <c r="AQ60" s="105">
        <v>0</v>
      </c>
      <c r="AR60" s="105">
        <v>0</v>
      </c>
      <c r="AS60" s="99">
        <f t="shared" ref="AS60:AS65" si="246">AV60</f>
        <v>0</v>
      </c>
      <c r="AT60" s="105">
        <v>0</v>
      </c>
      <c r="AU60" s="105">
        <v>0</v>
      </c>
      <c r="AV60" s="105">
        <v>0</v>
      </c>
      <c r="AW60" s="105">
        <v>0</v>
      </c>
      <c r="AX60" s="99">
        <f t="shared" ref="AX60:AX65" si="247">BA60</f>
        <v>0</v>
      </c>
      <c r="AY60" s="105">
        <v>0</v>
      </c>
      <c r="AZ60" s="105">
        <v>0</v>
      </c>
      <c r="BA60" s="105">
        <v>0</v>
      </c>
      <c r="BB60" s="105">
        <v>0</v>
      </c>
    </row>
    <row r="61" spans="1:54" ht="56.25" outlineLevel="3" x14ac:dyDescent="0.25">
      <c r="A61" s="100" t="s">
        <v>408</v>
      </c>
      <c r="B61" s="101" t="s">
        <v>402</v>
      </c>
      <c r="C61" s="106" t="s">
        <v>66</v>
      </c>
      <c r="D61" s="116" t="s">
        <v>6</v>
      </c>
      <c r="E61" s="103">
        <f t="shared" si="238"/>
        <v>254</v>
      </c>
      <c r="F61" s="104">
        <v>0</v>
      </c>
      <c r="G61" s="104">
        <v>0</v>
      </c>
      <c r="H61" s="104">
        <f t="shared" si="239"/>
        <v>254</v>
      </c>
      <c r="I61" s="104">
        <v>0</v>
      </c>
      <c r="J61" s="99">
        <f t="shared" si="240"/>
        <v>0</v>
      </c>
      <c r="K61" s="105">
        <v>0</v>
      </c>
      <c r="L61" s="105">
        <v>0</v>
      </c>
      <c r="M61" s="105">
        <v>0</v>
      </c>
      <c r="N61" s="105">
        <v>0</v>
      </c>
      <c r="O61" s="99">
        <f t="shared" si="241"/>
        <v>0</v>
      </c>
      <c r="P61" s="105">
        <v>0</v>
      </c>
      <c r="Q61" s="105">
        <v>0</v>
      </c>
      <c r="R61" s="105">
        <v>0</v>
      </c>
      <c r="S61" s="105">
        <v>0</v>
      </c>
      <c r="T61" s="99">
        <f t="shared" si="242"/>
        <v>0</v>
      </c>
      <c r="U61" s="105">
        <v>0</v>
      </c>
      <c r="V61" s="105">
        <v>0</v>
      </c>
      <c r="W61" s="105">
        <v>0</v>
      </c>
      <c r="X61" s="105">
        <v>0</v>
      </c>
      <c r="Y61" s="99">
        <f t="shared" si="243"/>
        <v>0</v>
      </c>
      <c r="Z61" s="105"/>
      <c r="AA61" s="105">
        <v>0</v>
      </c>
      <c r="AB61" s="105">
        <v>0</v>
      </c>
      <c r="AC61" s="105">
        <v>0</v>
      </c>
      <c r="AD61" s="99">
        <f t="shared" ref="AD61:AD65" si="248">AG61</f>
        <v>254</v>
      </c>
      <c r="AE61" s="105"/>
      <c r="AF61" s="105">
        <v>0</v>
      </c>
      <c r="AG61" s="105">
        <v>254</v>
      </c>
      <c r="AH61" s="105">
        <v>0</v>
      </c>
      <c r="AI61" s="99">
        <f t="shared" si="244"/>
        <v>0</v>
      </c>
      <c r="AJ61" s="105">
        <v>0</v>
      </c>
      <c r="AK61" s="105">
        <v>0</v>
      </c>
      <c r="AL61" s="105">
        <v>0</v>
      </c>
      <c r="AM61" s="105">
        <v>0</v>
      </c>
      <c r="AN61" s="99">
        <f t="shared" si="245"/>
        <v>0</v>
      </c>
      <c r="AO61" s="105">
        <v>0</v>
      </c>
      <c r="AP61" s="105">
        <v>0</v>
      </c>
      <c r="AQ61" s="105">
        <v>0</v>
      </c>
      <c r="AR61" s="105">
        <v>0</v>
      </c>
      <c r="AS61" s="99">
        <f t="shared" si="246"/>
        <v>0</v>
      </c>
      <c r="AT61" s="105">
        <v>0</v>
      </c>
      <c r="AU61" s="105">
        <v>0</v>
      </c>
      <c r="AV61" s="105">
        <v>0</v>
      </c>
      <c r="AW61" s="105">
        <v>0</v>
      </c>
      <c r="AX61" s="99">
        <f t="shared" si="247"/>
        <v>0</v>
      </c>
      <c r="AY61" s="105">
        <v>0</v>
      </c>
      <c r="AZ61" s="105">
        <v>0</v>
      </c>
      <c r="BA61" s="105">
        <v>0</v>
      </c>
      <c r="BB61" s="105">
        <v>0</v>
      </c>
    </row>
    <row r="62" spans="1:54" ht="56.25" outlineLevel="3" x14ac:dyDescent="0.25">
      <c r="A62" s="100" t="s">
        <v>409</v>
      </c>
      <c r="B62" s="101" t="s">
        <v>403</v>
      </c>
      <c r="C62" s="106" t="s">
        <v>66</v>
      </c>
      <c r="D62" s="116" t="s">
        <v>6</v>
      </c>
      <c r="E62" s="103">
        <f t="shared" si="238"/>
        <v>53</v>
      </c>
      <c r="F62" s="104">
        <v>0</v>
      </c>
      <c r="G62" s="104">
        <v>0</v>
      </c>
      <c r="H62" s="104">
        <f t="shared" si="239"/>
        <v>53</v>
      </c>
      <c r="I62" s="104">
        <v>0</v>
      </c>
      <c r="J62" s="99">
        <f t="shared" si="240"/>
        <v>0</v>
      </c>
      <c r="K62" s="105">
        <v>0</v>
      </c>
      <c r="L62" s="105">
        <v>0</v>
      </c>
      <c r="M62" s="105">
        <v>0</v>
      </c>
      <c r="N62" s="105">
        <v>0</v>
      </c>
      <c r="O62" s="99">
        <f t="shared" si="241"/>
        <v>0</v>
      </c>
      <c r="P62" s="105">
        <v>0</v>
      </c>
      <c r="Q62" s="105">
        <v>0</v>
      </c>
      <c r="R62" s="105">
        <v>0</v>
      </c>
      <c r="S62" s="105">
        <v>0</v>
      </c>
      <c r="T62" s="99">
        <f t="shared" si="242"/>
        <v>0</v>
      </c>
      <c r="U62" s="105">
        <v>0</v>
      </c>
      <c r="V62" s="105">
        <v>0</v>
      </c>
      <c r="W62" s="105">
        <v>0</v>
      </c>
      <c r="X62" s="105">
        <v>0</v>
      </c>
      <c r="Y62" s="99">
        <f t="shared" si="243"/>
        <v>0</v>
      </c>
      <c r="Z62" s="105"/>
      <c r="AA62" s="105">
        <v>0</v>
      </c>
      <c r="AB62" s="105">
        <v>0</v>
      </c>
      <c r="AC62" s="105">
        <v>0</v>
      </c>
      <c r="AD62" s="99">
        <f t="shared" si="248"/>
        <v>53</v>
      </c>
      <c r="AE62" s="105"/>
      <c r="AF62" s="105">
        <v>0</v>
      </c>
      <c r="AG62" s="105">
        <v>53</v>
      </c>
      <c r="AH62" s="105">
        <v>0</v>
      </c>
      <c r="AI62" s="99">
        <f t="shared" si="244"/>
        <v>0</v>
      </c>
      <c r="AJ62" s="105">
        <v>0</v>
      </c>
      <c r="AK62" s="105">
        <v>0</v>
      </c>
      <c r="AL62" s="105">
        <v>0</v>
      </c>
      <c r="AM62" s="105">
        <v>0</v>
      </c>
      <c r="AN62" s="99">
        <f t="shared" si="245"/>
        <v>0</v>
      </c>
      <c r="AO62" s="105">
        <v>0</v>
      </c>
      <c r="AP62" s="105">
        <v>0</v>
      </c>
      <c r="AQ62" s="105">
        <v>0</v>
      </c>
      <c r="AR62" s="105">
        <v>0</v>
      </c>
      <c r="AS62" s="99">
        <f t="shared" si="246"/>
        <v>0</v>
      </c>
      <c r="AT62" s="105">
        <v>0</v>
      </c>
      <c r="AU62" s="105">
        <v>0</v>
      </c>
      <c r="AV62" s="105">
        <v>0</v>
      </c>
      <c r="AW62" s="105">
        <v>0</v>
      </c>
      <c r="AX62" s="99">
        <f t="shared" si="247"/>
        <v>0</v>
      </c>
      <c r="AY62" s="105">
        <v>0</v>
      </c>
      <c r="AZ62" s="105">
        <v>0</v>
      </c>
      <c r="BA62" s="105">
        <v>0</v>
      </c>
      <c r="BB62" s="105">
        <v>0</v>
      </c>
    </row>
    <row r="63" spans="1:54" ht="56.25" outlineLevel="3" x14ac:dyDescent="0.25">
      <c r="A63" s="100" t="s">
        <v>410</v>
      </c>
      <c r="B63" s="101" t="s">
        <v>404</v>
      </c>
      <c r="C63" s="106" t="s">
        <v>66</v>
      </c>
      <c r="D63" s="116" t="s">
        <v>6</v>
      </c>
      <c r="E63" s="103">
        <f t="shared" si="238"/>
        <v>116</v>
      </c>
      <c r="F63" s="104">
        <v>0</v>
      </c>
      <c r="G63" s="104">
        <v>0</v>
      </c>
      <c r="H63" s="104">
        <f t="shared" si="239"/>
        <v>116</v>
      </c>
      <c r="I63" s="104">
        <v>0</v>
      </c>
      <c r="J63" s="99">
        <f t="shared" si="240"/>
        <v>0</v>
      </c>
      <c r="K63" s="105">
        <v>0</v>
      </c>
      <c r="L63" s="105">
        <v>0</v>
      </c>
      <c r="M63" s="105">
        <v>0</v>
      </c>
      <c r="N63" s="105">
        <v>0</v>
      </c>
      <c r="O63" s="99">
        <f t="shared" si="241"/>
        <v>0</v>
      </c>
      <c r="P63" s="105">
        <v>0</v>
      </c>
      <c r="Q63" s="105">
        <v>0</v>
      </c>
      <c r="R63" s="105">
        <v>0</v>
      </c>
      <c r="S63" s="105">
        <v>0</v>
      </c>
      <c r="T63" s="99">
        <f t="shared" si="242"/>
        <v>0</v>
      </c>
      <c r="U63" s="105">
        <v>0</v>
      </c>
      <c r="V63" s="105">
        <v>0</v>
      </c>
      <c r="W63" s="105">
        <v>0</v>
      </c>
      <c r="X63" s="105">
        <v>0</v>
      </c>
      <c r="Y63" s="99">
        <f t="shared" si="243"/>
        <v>0</v>
      </c>
      <c r="Z63" s="105"/>
      <c r="AA63" s="105">
        <v>0</v>
      </c>
      <c r="AB63" s="105">
        <v>0</v>
      </c>
      <c r="AC63" s="105">
        <v>0</v>
      </c>
      <c r="AD63" s="99">
        <f t="shared" si="248"/>
        <v>116</v>
      </c>
      <c r="AE63" s="105"/>
      <c r="AF63" s="105">
        <v>0</v>
      </c>
      <c r="AG63" s="105">
        <v>116</v>
      </c>
      <c r="AH63" s="105">
        <v>0</v>
      </c>
      <c r="AI63" s="99">
        <f t="shared" si="244"/>
        <v>0</v>
      </c>
      <c r="AJ63" s="105">
        <v>0</v>
      </c>
      <c r="AK63" s="105">
        <v>0</v>
      </c>
      <c r="AL63" s="105">
        <v>0</v>
      </c>
      <c r="AM63" s="105">
        <v>0</v>
      </c>
      <c r="AN63" s="99">
        <f t="shared" si="245"/>
        <v>0</v>
      </c>
      <c r="AO63" s="105">
        <v>0</v>
      </c>
      <c r="AP63" s="105">
        <v>0</v>
      </c>
      <c r="AQ63" s="105">
        <v>0</v>
      </c>
      <c r="AR63" s="105">
        <v>0</v>
      </c>
      <c r="AS63" s="99">
        <f t="shared" si="246"/>
        <v>0</v>
      </c>
      <c r="AT63" s="105">
        <v>0</v>
      </c>
      <c r="AU63" s="105">
        <v>0</v>
      </c>
      <c r="AV63" s="105">
        <v>0</v>
      </c>
      <c r="AW63" s="105">
        <v>0</v>
      </c>
      <c r="AX63" s="99">
        <f t="shared" si="247"/>
        <v>0</v>
      </c>
      <c r="AY63" s="105">
        <v>0</v>
      </c>
      <c r="AZ63" s="105">
        <v>0</v>
      </c>
      <c r="BA63" s="105">
        <v>0</v>
      </c>
      <c r="BB63" s="105">
        <v>0</v>
      </c>
    </row>
    <row r="64" spans="1:54" ht="56.25" outlineLevel="3" x14ac:dyDescent="0.25">
      <c r="A64" s="100" t="s">
        <v>411</v>
      </c>
      <c r="B64" s="101" t="s">
        <v>405</v>
      </c>
      <c r="C64" s="106" t="s">
        <v>66</v>
      </c>
      <c r="D64" s="116" t="s">
        <v>6</v>
      </c>
      <c r="E64" s="103">
        <f t="shared" si="238"/>
        <v>330</v>
      </c>
      <c r="F64" s="104">
        <v>0</v>
      </c>
      <c r="G64" s="104">
        <v>0</v>
      </c>
      <c r="H64" s="104">
        <f t="shared" si="239"/>
        <v>330</v>
      </c>
      <c r="I64" s="104">
        <v>0</v>
      </c>
      <c r="J64" s="99">
        <f t="shared" si="240"/>
        <v>0</v>
      </c>
      <c r="K64" s="105">
        <v>0</v>
      </c>
      <c r="L64" s="105">
        <v>0</v>
      </c>
      <c r="M64" s="105">
        <v>0</v>
      </c>
      <c r="N64" s="105">
        <v>0</v>
      </c>
      <c r="O64" s="99">
        <f t="shared" si="241"/>
        <v>0</v>
      </c>
      <c r="P64" s="105">
        <v>0</v>
      </c>
      <c r="Q64" s="105">
        <v>0</v>
      </c>
      <c r="R64" s="105">
        <v>0</v>
      </c>
      <c r="S64" s="105">
        <v>0</v>
      </c>
      <c r="T64" s="99">
        <f t="shared" si="242"/>
        <v>0</v>
      </c>
      <c r="U64" s="105">
        <v>0</v>
      </c>
      <c r="V64" s="105">
        <v>0</v>
      </c>
      <c r="W64" s="105">
        <v>0</v>
      </c>
      <c r="X64" s="105">
        <v>0</v>
      </c>
      <c r="Y64" s="99">
        <f t="shared" si="243"/>
        <v>0</v>
      </c>
      <c r="Z64" s="105"/>
      <c r="AA64" s="105">
        <v>0</v>
      </c>
      <c r="AB64" s="105">
        <v>0</v>
      </c>
      <c r="AC64" s="105">
        <v>0</v>
      </c>
      <c r="AD64" s="99">
        <f t="shared" si="248"/>
        <v>330</v>
      </c>
      <c r="AE64" s="105"/>
      <c r="AF64" s="105">
        <v>0</v>
      </c>
      <c r="AG64" s="105">
        <v>330</v>
      </c>
      <c r="AH64" s="105">
        <v>0</v>
      </c>
      <c r="AI64" s="99">
        <f t="shared" si="244"/>
        <v>0</v>
      </c>
      <c r="AJ64" s="105">
        <v>0</v>
      </c>
      <c r="AK64" s="105">
        <v>0</v>
      </c>
      <c r="AL64" s="105">
        <v>0</v>
      </c>
      <c r="AM64" s="105">
        <v>0</v>
      </c>
      <c r="AN64" s="99">
        <f t="shared" si="245"/>
        <v>0</v>
      </c>
      <c r="AO64" s="105">
        <v>0</v>
      </c>
      <c r="AP64" s="105">
        <v>0</v>
      </c>
      <c r="AQ64" s="105">
        <v>0</v>
      </c>
      <c r="AR64" s="105">
        <v>0</v>
      </c>
      <c r="AS64" s="99">
        <f t="shared" si="246"/>
        <v>0</v>
      </c>
      <c r="AT64" s="105">
        <v>0</v>
      </c>
      <c r="AU64" s="105">
        <v>0</v>
      </c>
      <c r="AV64" s="105">
        <v>0</v>
      </c>
      <c r="AW64" s="105">
        <v>0</v>
      </c>
      <c r="AX64" s="99">
        <f t="shared" si="247"/>
        <v>0</v>
      </c>
      <c r="AY64" s="105">
        <v>0</v>
      </c>
      <c r="AZ64" s="105">
        <v>0</v>
      </c>
      <c r="BA64" s="105">
        <v>0</v>
      </c>
      <c r="BB64" s="105">
        <v>0</v>
      </c>
    </row>
    <row r="65" spans="1:54" ht="56.25" outlineLevel="3" x14ac:dyDescent="0.25">
      <c r="A65" s="100" t="s">
        <v>412</v>
      </c>
      <c r="B65" s="101" t="s">
        <v>406</v>
      </c>
      <c r="C65" s="106" t="s">
        <v>66</v>
      </c>
      <c r="D65" s="116" t="s">
        <v>6</v>
      </c>
      <c r="E65" s="103">
        <f t="shared" si="238"/>
        <v>202</v>
      </c>
      <c r="F65" s="104">
        <v>0</v>
      </c>
      <c r="G65" s="104">
        <v>0</v>
      </c>
      <c r="H65" s="104">
        <f t="shared" si="239"/>
        <v>202</v>
      </c>
      <c r="I65" s="104">
        <v>0</v>
      </c>
      <c r="J65" s="99">
        <f t="shared" si="240"/>
        <v>0</v>
      </c>
      <c r="K65" s="105">
        <v>0</v>
      </c>
      <c r="L65" s="105">
        <v>0</v>
      </c>
      <c r="M65" s="105">
        <v>0</v>
      </c>
      <c r="N65" s="105">
        <v>0</v>
      </c>
      <c r="O65" s="99">
        <f t="shared" si="241"/>
        <v>0</v>
      </c>
      <c r="P65" s="105">
        <v>0</v>
      </c>
      <c r="Q65" s="105">
        <v>0</v>
      </c>
      <c r="R65" s="105">
        <v>0</v>
      </c>
      <c r="S65" s="105">
        <v>0</v>
      </c>
      <c r="T65" s="99">
        <f t="shared" si="242"/>
        <v>0</v>
      </c>
      <c r="U65" s="105">
        <v>0</v>
      </c>
      <c r="V65" s="105">
        <v>0</v>
      </c>
      <c r="W65" s="105">
        <v>0</v>
      </c>
      <c r="X65" s="105">
        <v>0</v>
      </c>
      <c r="Y65" s="99">
        <f t="shared" si="243"/>
        <v>0</v>
      </c>
      <c r="Z65" s="105"/>
      <c r="AA65" s="105">
        <v>0</v>
      </c>
      <c r="AB65" s="105">
        <v>0</v>
      </c>
      <c r="AC65" s="105">
        <v>0</v>
      </c>
      <c r="AD65" s="99">
        <f t="shared" si="248"/>
        <v>202</v>
      </c>
      <c r="AE65" s="105"/>
      <c r="AF65" s="105">
        <v>0</v>
      </c>
      <c r="AG65" s="105">
        <v>202</v>
      </c>
      <c r="AH65" s="105">
        <v>0</v>
      </c>
      <c r="AI65" s="99">
        <f t="shared" si="244"/>
        <v>0</v>
      </c>
      <c r="AJ65" s="105">
        <v>0</v>
      </c>
      <c r="AK65" s="105">
        <v>0</v>
      </c>
      <c r="AL65" s="105">
        <v>0</v>
      </c>
      <c r="AM65" s="105">
        <v>0</v>
      </c>
      <c r="AN65" s="99">
        <f t="shared" si="245"/>
        <v>0</v>
      </c>
      <c r="AO65" s="105">
        <v>0</v>
      </c>
      <c r="AP65" s="105">
        <v>0</v>
      </c>
      <c r="AQ65" s="105">
        <v>0</v>
      </c>
      <c r="AR65" s="105">
        <v>0</v>
      </c>
      <c r="AS65" s="99">
        <f t="shared" si="246"/>
        <v>0</v>
      </c>
      <c r="AT65" s="105">
        <v>0</v>
      </c>
      <c r="AU65" s="105">
        <v>0</v>
      </c>
      <c r="AV65" s="105">
        <v>0</v>
      </c>
      <c r="AW65" s="105">
        <v>0</v>
      </c>
      <c r="AX65" s="99">
        <f t="shared" si="247"/>
        <v>0</v>
      </c>
      <c r="AY65" s="105">
        <v>0</v>
      </c>
      <c r="AZ65" s="105">
        <v>0</v>
      </c>
      <c r="BA65" s="105">
        <v>0</v>
      </c>
      <c r="BB65" s="105">
        <v>0</v>
      </c>
    </row>
    <row r="66" spans="1:54" ht="56.25" outlineLevel="3" x14ac:dyDescent="0.25">
      <c r="A66" s="100" t="s">
        <v>413</v>
      </c>
      <c r="B66" s="117" t="s">
        <v>441</v>
      </c>
      <c r="C66" s="106" t="s">
        <v>66</v>
      </c>
      <c r="D66" s="106" t="s">
        <v>36</v>
      </c>
      <c r="E66" s="103">
        <f t="shared" ref="E66" si="249">SUM(F66:I66)</f>
        <v>461.3</v>
      </c>
      <c r="F66" s="104">
        <v>0</v>
      </c>
      <c r="G66" s="104">
        <v>0</v>
      </c>
      <c r="H66" s="104">
        <f t="shared" ref="H66" si="250">M66+R66+W66+AB66+AG66+AL66+AQ66+AV66+BA66</f>
        <v>461.3</v>
      </c>
      <c r="I66" s="104">
        <v>0</v>
      </c>
      <c r="J66" s="99">
        <f t="shared" ref="J66" si="251">M66</f>
        <v>0</v>
      </c>
      <c r="K66" s="105">
        <v>0</v>
      </c>
      <c r="L66" s="105">
        <v>0</v>
      </c>
      <c r="M66" s="105">
        <v>0</v>
      </c>
      <c r="N66" s="105">
        <v>0</v>
      </c>
      <c r="O66" s="99">
        <f t="shared" ref="O66" si="252">R66</f>
        <v>0</v>
      </c>
      <c r="P66" s="105">
        <v>0</v>
      </c>
      <c r="Q66" s="105">
        <v>0</v>
      </c>
      <c r="R66" s="105">
        <v>0</v>
      </c>
      <c r="S66" s="105">
        <v>0</v>
      </c>
      <c r="T66" s="99">
        <f t="shared" ref="T66" si="253">W66</f>
        <v>0</v>
      </c>
      <c r="U66" s="105">
        <v>0</v>
      </c>
      <c r="V66" s="105">
        <v>0</v>
      </c>
      <c r="W66" s="105">
        <v>0</v>
      </c>
      <c r="X66" s="105">
        <v>0</v>
      </c>
      <c r="Y66" s="99">
        <f t="shared" ref="Y66" si="254">AB66</f>
        <v>0</v>
      </c>
      <c r="Z66" s="105"/>
      <c r="AA66" s="105">
        <v>0</v>
      </c>
      <c r="AB66" s="105">
        <v>0</v>
      </c>
      <c r="AC66" s="105">
        <v>0</v>
      </c>
      <c r="AD66" s="99">
        <f t="shared" ref="AD66" si="255">AG66</f>
        <v>461.3</v>
      </c>
      <c r="AE66" s="105"/>
      <c r="AF66" s="105">
        <v>0</v>
      </c>
      <c r="AG66" s="105">
        <v>461.3</v>
      </c>
      <c r="AH66" s="105">
        <v>0</v>
      </c>
      <c r="AI66" s="99">
        <f t="shared" ref="AI66" si="256">AL66</f>
        <v>0</v>
      </c>
      <c r="AJ66" s="105">
        <v>0</v>
      </c>
      <c r="AK66" s="105">
        <v>0</v>
      </c>
      <c r="AL66" s="105">
        <v>0</v>
      </c>
      <c r="AM66" s="105">
        <v>0</v>
      </c>
      <c r="AN66" s="99">
        <f t="shared" ref="AN66" si="257">AQ66</f>
        <v>0</v>
      </c>
      <c r="AO66" s="105">
        <v>0</v>
      </c>
      <c r="AP66" s="105">
        <v>0</v>
      </c>
      <c r="AQ66" s="105">
        <v>0</v>
      </c>
      <c r="AR66" s="105">
        <v>0</v>
      </c>
      <c r="AS66" s="99">
        <f t="shared" ref="AS66" si="258">AV66</f>
        <v>0</v>
      </c>
      <c r="AT66" s="105">
        <v>0</v>
      </c>
      <c r="AU66" s="105">
        <v>0</v>
      </c>
      <c r="AV66" s="105">
        <v>0</v>
      </c>
      <c r="AW66" s="105">
        <v>0</v>
      </c>
      <c r="AX66" s="99">
        <f t="shared" ref="AX66" si="259">BA66</f>
        <v>0</v>
      </c>
      <c r="AY66" s="105">
        <v>0</v>
      </c>
      <c r="AZ66" s="105">
        <v>0</v>
      </c>
      <c r="BA66" s="105">
        <v>0</v>
      </c>
      <c r="BB66" s="105">
        <v>0</v>
      </c>
    </row>
    <row r="67" spans="1:54" ht="150" outlineLevel="3" x14ac:dyDescent="0.25">
      <c r="A67" s="100" t="s">
        <v>440</v>
      </c>
      <c r="B67" s="117" t="s">
        <v>460</v>
      </c>
      <c r="C67" s="106" t="s">
        <v>66</v>
      </c>
      <c r="D67" s="106" t="s">
        <v>6</v>
      </c>
      <c r="E67" s="103">
        <f t="shared" ref="E67" si="260">SUM(F67:I67)</f>
        <v>2530</v>
      </c>
      <c r="F67" s="104">
        <v>0</v>
      </c>
      <c r="G67" s="104">
        <v>0</v>
      </c>
      <c r="H67" s="104">
        <f t="shared" ref="H67" si="261">M67+R67+W67+AB67+AG67+AL67+AQ67+AV67+BA67</f>
        <v>2530</v>
      </c>
      <c r="I67" s="104">
        <v>0</v>
      </c>
      <c r="J67" s="99">
        <f t="shared" ref="J67" si="262">M67</f>
        <v>0</v>
      </c>
      <c r="K67" s="105">
        <v>0</v>
      </c>
      <c r="L67" s="105">
        <v>0</v>
      </c>
      <c r="M67" s="105">
        <v>0</v>
      </c>
      <c r="N67" s="105">
        <v>0</v>
      </c>
      <c r="O67" s="99">
        <f t="shared" ref="O67" si="263">R67</f>
        <v>0</v>
      </c>
      <c r="P67" s="105">
        <v>0</v>
      </c>
      <c r="Q67" s="105">
        <v>0</v>
      </c>
      <c r="R67" s="105">
        <v>0</v>
      </c>
      <c r="S67" s="105">
        <v>0</v>
      </c>
      <c r="T67" s="99">
        <f t="shared" ref="T67" si="264">W67</f>
        <v>0</v>
      </c>
      <c r="U67" s="105">
        <v>0</v>
      </c>
      <c r="V67" s="105">
        <v>0</v>
      </c>
      <c r="W67" s="105">
        <v>0</v>
      </c>
      <c r="X67" s="105">
        <v>0</v>
      </c>
      <c r="Y67" s="99">
        <f t="shared" ref="Y67" si="265">AB67</f>
        <v>0</v>
      </c>
      <c r="Z67" s="105"/>
      <c r="AA67" s="105">
        <v>0</v>
      </c>
      <c r="AB67" s="105">
        <v>0</v>
      </c>
      <c r="AC67" s="105">
        <v>0</v>
      </c>
      <c r="AD67" s="99">
        <f t="shared" ref="AD67" si="266">AG67</f>
        <v>2530</v>
      </c>
      <c r="AE67" s="105"/>
      <c r="AF67" s="105">
        <v>0</v>
      </c>
      <c r="AG67" s="105">
        <v>2530</v>
      </c>
      <c r="AH67" s="105">
        <v>0</v>
      </c>
      <c r="AI67" s="99">
        <f t="shared" ref="AI67" si="267">AL67</f>
        <v>0</v>
      </c>
      <c r="AJ67" s="105">
        <v>0</v>
      </c>
      <c r="AK67" s="105">
        <v>0</v>
      </c>
      <c r="AL67" s="105">
        <v>0</v>
      </c>
      <c r="AM67" s="105">
        <v>0</v>
      </c>
      <c r="AN67" s="99">
        <f t="shared" ref="AN67" si="268">AQ67</f>
        <v>0</v>
      </c>
      <c r="AO67" s="105">
        <v>0</v>
      </c>
      <c r="AP67" s="105">
        <v>0</v>
      </c>
      <c r="AQ67" s="105">
        <v>0</v>
      </c>
      <c r="AR67" s="105">
        <v>0</v>
      </c>
      <c r="AS67" s="99">
        <f t="shared" ref="AS67" si="269">AV67</f>
        <v>0</v>
      </c>
      <c r="AT67" s="105">
        <v>0</v>
      </c>
      <c r="AU67" s="105">
        <v>0</v>
      </c>
      <c r="AV67" s="105">
        <v>0</v>
      </c>
      <c r="AW67" s="105">
        <v>0</v>
      </c>
      <c r="AX67" s="99">
        <f t="shared" ref="AX67" si="270">BA67</f>
        <v>0</v>
      </c>
      <c r="AY67" s="105">
        <v>0</v>
      </c>
      <c r="AZ67" s="105">
        <v>0</v>
      </c>
      <c r="BA67" s="105">
        <v>0</v>
      </c>
      <c r="BB67" s="105">
        <v>0</v>
      </c>
    </row>
    <row r="68" spans="1:54" outlineLevel="3" x14ac:dyDescent="0.25">
      <c r="A68" s="100" t="s">
        <v>339</v>
      </c>
      <c r="B68" s="193" t="s">
        <v>341</v>
      </c>
      <c r="C68" s="194"/>
      <c r="D68" s="195"/>
      <c r="E68" s="103">
        <f t="shared" ref="E68:AJ68" si="271">SUM(E69:E75)+E87</f>
        <v>4049.7999999999997</v>
      </c>
      <c r="F68" s="103">
        <f t="shared" si="271"/>
        <v>0</v>
      </c>
      <c r="G68" s="103">
        <f t="shared" si="271"/>
        <v>0</v>
      </c>
      <c r="H68" s="103">
        <f t="shared" si="271"/>
        <v>4049.7999999999997</v>
      </c>
      <c r="I68" s="103">
        <f t="shared" si="271"/>
        <v>0</v>
      </c>
      <c r="J68" s="103">
        <f t="shared" si="271"/>
        <v>0</v>
      </c>
      <c r="K68" s="103">
        <f t="shared" si="271"/>
        <v>0</v>
      </c>
      <c r="L68" s="103">
        <f t="shared" si="271"/>
        <v>0</v>
      </c>
      <c r="M68" s="103">
        <f t="shared" si="271"/>
        <v>0</v>
      </c>
      <c r="N68" s="103">
        <f t="shared" si="271"/>
        <v>0</v>
      </c>
      <c r="O68" s="103">
        <f t="shared" si="271"/>
        <v>72.400000000000006</v>
      </c>
      <c r="P68" s="103">
        <f t="shared" si="271"/>
        <v>0</v>
      </c>
      <c r="Q68" s="103">
        <f t="shared" si="271"/>
        <v>0</v>
      </c>
      <c r="R68" s="103">
        <f t="shared" si="271"/>
        <v>72.400000000000006</v>
      </c>
      <c r="S68" s="103">
        <f t="shared" si="271"/>
        <v>0</v>
      </c>
      <c r="T68" s="103">
        <f t="shared" si="271"/>
        <v>0</v>
      </c>
      <c r="U68" s="103">
        <f t="shared" si="271"/>
        <v>0</v>
      </c>
      <c r="V68" s="103">
        <f t="shared" si="271"/>
        <v>0</v>
      </c>
      <c r="W68" s="103">
        <f t="shared" si="271"/>
        <v>0</v>
      </c>
      <c r="X68" s="103">
        <f t="shared" si="271"/>
        <v>0</v>
      </c>
      <c r="Y68" s="103">
        <f t="shared" si="271"/>
        <v>535.4</v>
      </c>
      <c r="Z68" s="103">
        <f t="shared" si="271"/>
        <v>0</v>
      </c>
      <c r="AA68" s="103">
        <f t="shared" si="271"/>
        <v>0</v>
      </c>
      <c r="AB68" s="103">
        <f t="shared" si="271"/>
        <v>535.4</v>
      </c>
      <c r="AC68" s="103">
        <f t="shared" si="271"/>
        <v>0</v>
      </c>
      <c r="AD68" s="103">
        <f t="shared" si="271"/>
        <v>3442</v>
      </c>
      <c r="AE68" s="103">
        <f t="shared" si="271"/>
        <v>0</v>
      </c>
      <c r="AF68" s="103">
        <f t="shared" si="271"/>
        <v>0</v>
      </c>
      <c r="AG68" s="103">
        <f t="shared" si="271"/>
        <v>3442</v>
      </c>
      <c r="AH68" s="103">
        <f t="shared" si="271"/>
        <v>0</v>
      </c>
      <c r="AI68" s="103">
        <f t="shared" si="271"/>
        <v>0</v>
      </c>
      <c r="AJ68" s="103">
        <f t="shared" si="271"/>
        <v>0</v>
      </c>
      <c r="AK68" s="103">
        <f t="shared" ref="AK68:BB68" si="272">SUM(AK69:AK75)+AK87</f>
        <v>0</v>
      </c>
      <c r="AL68" s="103">
        <f t="shared" si="272"/>
        <v>0</v>
      </c>
      <c r="AM68" s="103">
        <f t="shared" si="272"/>
        <v>0</v>
      </c>
      <c r="AN68" s="103">
        <f t="shared" si="272"/>
        <v>0</v>
      </c>
      <c r="AO68" s="103">
        <f t="shared" si="272"/>
        <v>0</v>
      </c>
      <c r="AP68" s="103">
        <f t="shared" si="272"/>
        <v>0</v>
      </c>
      <c r="AQ68" s="103">
        <f t="shared" si="272"/>
        <v>0</v>
      </c>
      <c r="AR68" s="103">
        <f t="shared" si="272"/>
        <v>0</v>
      </c>
      <c r="AS68" s="103">
        <f t="shared" si="272"/>
        <v>0</v>
      </c>
      <c r="AT68" s="103">
        <f t="shared" si="272"/>
        <v>0</v>
      </c>
      <c r="AU68" s="103">
        <f t="shared" si="272"/>
        <v>0</v>
      </c>
      <c r="AV68" s="103">
        <f t="shared" si="272"/>
        <v>0</v>
      </c>
      <c r="AW68" s="103">
        <f t="shared" si="272"/>
        <v>0</v>
      </c>
      <c r="AX68" s="103">
        <f t="shared" si="272"/>
        <v>0</v>
      </c>
      <c r="AY68" s="103">
        <f t="shared" si="272"/>
        <v>0</v>
      </c>
      <c r="AZ68" s="103">
        <f t="shared" si="272"/>
        <v>0</v>
      </c>
      <c r="BA68" s="103">
        <f t="shared" si="272"/>
        <v>0</v>
      </c>
      <c r="BB68" s="103">
        <f t="shared" si="272"/>
        <v>0</v>
      </c>
    </row>
    <row r="69" spans="1:54" ht="93.75" outlineLevel="3" x14ac:dyDescent="0.25">
      <c r="A69" s="100" t="s">
        <v>340</v>
      </c>
      <c r="B69" s="101" t="s">
        <v>342</v>
      </c>
      <c r="C69" s="106" t="s">
        <v>66</v>
      </c>
      <c r="D69" s="106" t="s">
        <v>36</v>
      </c>
      <c r="E69" s="103">
        <f t="shared" ref="E69" si="273">SUM(F69:I69)</f>
        <v>72.400000000000006</v>
      </c>
      <c r="F69" s="104">
        <v>0</v>
      </c>
      <c r="G69" s="104">
        <v>0</v>
      </c>
      <c r="H69" s="104">
        <f t="shared" si="138"/>
        <v>72.400000000000006</v>
      </c>
      <c r="I69" s="104">
        <v>0</v>
      </c>
      <c r="J69" s="99">
        <f>M69</f>
        <v>0</v>
      </c>
      <c r="K69" s="105">
        <v>0</v>
      </c>
      <c r="L69" s="105">
        <v>0</v>
      </c>
      <c r="M69" s="105">
        <v>0</v>
      </c>
      <c r="N69" s="105">
        <v>0</v>
      </c>
      <c r="O69" s="99">
        <f>R69</f>
        <v>72.400000000000006</v>
      </c>
      <c r="P69" s="105">
        <v>0</v>
      </c>
      <c r="Q69" s="105">
        <v>0</v>
      </c>
      <c r="R69" s="105">
        <v>72.400000000000006</v>
      </c>
      <c r="S69" s="105">
        <v>0</v>
      </c>
      <c r="T69" s="99">
        <f>W69</f>
        <v>0</v>
      </c>
      <c r="U69" s="105">
        <v>0</v>
      </c>
      <c r="V69" s="105">
        <v>0</v>
      </c>
      <c r="W69" s="105">
        <v>0</v>
      </c>
      <c r="X69" s="105">
        <v>0</v>
      </c>
      <c r="Y69" s="99">
        <f>AB69</f>
        <v>0</v>
      </c>
      <c r="Z69" s="105">
        <v>0</v>
      </c>
      <c r="AA69" s="105">
        <v>0</v>
      </c>
      <c r="AB69" s="105">
        <v>0</v>
      </c>
      <c r="AC69" s="105">
        <v>0</v>
      </c>
      <c r="AD69" s="99">
        <f t="shared" ref="AD69:AD72" si="274">AG69</f>
        <v>0</v>
      </c>
      <c r="AE69" s="105">
        <v>0</v>
      </c>
      <c r="AF69" s="105">
        <v>0</v>
      </c>
      <c r="AG69" s="105">
        <v>0</v>
      </c>
      <c r="AH69" s="105">
        <v>0</v>
      </c>
      <c r="AI69" s="99">
        <f>AL69</f>
        <v>0</v>
      </c>
      <c r="AJ69" s="105">
        <v>0</v>
      </c>
      <c r="AK69" s="105">
        <v>0</v>
      </c>
      <c r="AL69" s="105">
        <v>0</v>
      </c>
      <c r="AM69" s="105">
        <v>0</v>
      </c>
      <c r="AN69" s="99">
        <f>AQ69</f>
        <v>0</v>
      </c>
      <c r="AO69" s="105">
        <v>0</v>
      </c>
      <c r="AP69" s="105">
        <v>0</v>
      </c>
      <c r="AQ69" s="105">
        <v>0</v>
      </c>
      <c r="AR69" s="105">
        <v>0</v>
      </c>
      <c r="AS69" s="99">
        <f>AV69</f>
        <v>0</v>
      </c>
      <c r="AT69" s="105">
        <v>0</v>
      </c>
      <c r="AU69" s="105">
        <v>0</v>
      </c>
      <c r="AV69" s="105">
        <v>0</v>
      </c>
      <c r="AW69" s="105">
        <v>0</v>
      </c>
      <c r="AX69" s="99">
        <f>BA69</f>
        <v>0</v>
      </c>
      <c r="AY69" s="105">
        <v>0</v>
      </c>
      <c r="AZ69" s="105">
        <v>0</v>
      </c>
      <c r="BA69" s="105">
        <v>0</v>
      </c>
      <c r="BB69" s="105">
        <v>0</v>
      </c>
    </row>
    <row r="70" spans="1:54" ht="112.5" outlineLevel="3" x14ac:dyDescent="0.25">
      <c r="A70" s="100" t="s">
        <v>362</v>
      </c>
      <c r="B70" s="101" t="s">
        <v>370</v>
      </c>
      <c r="C70" s="106" t="s">
        <v>66</v>
      </c>
      <c r="D70" s="106" t="s">
        <v>36</v>
      </c>
      <c r="E70" s="103">
        <f t="shared" ref="E70" si="275">SUM(F70:I70)</f>
        <v>180.4</v>
      </c>
      <c r="F70" s="104">
        <v>0</v>
      </c>
      <c r="G70" s="104">
        <v>0</v>
      </c>
      <c r="H70" s="104">
        <f t="shared" si="138"/>
        <v>180.4</v>
      </c>
      <c r="I70" s="104">
        <v>0</v>
      </c>
      <c r="J70" s="99">
        <f>M70</f>
        <v>0</v>
      </c>
      <c r="K70" s="105">
        <v>0</v>
      </c>
      <c r="L70" s="105">
        <v>0</v>
      </c>
      <c r="M70" s="105">
        <v>0</v>
      </c>
      <c r="N70" s="105">
        <v>0</v>
      </c>
      <c r="O70" s="99">
        <f>R70</f>
        <v>0</v>
      </c>
      <c r="P70" s="105">
        <v>0</v>
      </c>
      <c r="Q70" s="105">
        <v>0</v>
      </c>
      <c r="R70" s="105">
        <v>0</v>
      </c>
      <c r="S70" s="105">
        <v>0</v>
      </c>
      <c r="T70" s="99">
        <f>W70</f>
        <v>0</v>
      </c>
      <c r="U70" s="105">
        <v>0</v>
      </c>
      <c r="V70" s="105">
        <v>0</v>
      </c>
      <c r="W70" s="105">
        <v>0</v>
      </c>
      <c r="X70" s="105">
        <v>0</v>
      </c>
      <c r="Y70" s="99">
        <f>AB70</f>
        <v>180.4</v>
      </c>
      <c r="Z70" s="105">
        <v>0</v>
      </c>
      <c r="AA70" s="105">
        <v>0</v>
      </c>
      <c r="AB70" s="105">
        <v>180.4</v>
      </c>
      <c r="AC70" s="105">
        <v>0</v>
      </c>
      <c r="AD70" s="99">
        <f t="shared" si="274"/>
        <v>0</v>
      </c>
      <c r="AE70" s="105">
        <v>0</v>
      </c>
      <c r="AF70" s="105">
        <v>0</v>
      </c>
      <c r="AG70" s="105">
        <v>0</v>
      </c>
      <c r="AH70" s="105">
        <v>0</v>
      </c>
      <c r="AI70" s="99">
        <f>AL70</f>
        <v>0</v>
      </c>
      <c r="AJ70" s="105">
        <v>0</v>
      </c>
      <c r="AK70" s="105">
        <v>0</v>
      </c>
      <c r="AL70" s="105">
        <v>0</v>
      </c>
      <c r="AM70" s="105">
        <v>0</v>
      </c>
      <c r="AN70" s="99">
        <f>AQ70</f>
        <v>0</v>
      </c>
      <c r="AO70" s="105">
        <v>0</v>
      </c>
      <c r="AP70" s="105">
        <v>0</v>
      </c>
      <c r="AQ70" s="105">
        <v>0</v>
      </c>
      <c r="AR70" s="105">
        <v>0</v>
      </c>
      <c r="AS70" s="99">
        <f>AV70</f>
        <v>0</v>
      </c>
      <c r="AT70" s="105">
        <v>0</v>
      </c>
      <c r="AU70" s="105">
        <v>0</v>
      </c>
      <c r="AV70" s="105">
        <v>0</v>
      </c>
      <c r="AW70" s="105">
        <v>0</v>
      </c>
      <c r="AX70" s="99">
        <f>BA70</f>
        <v>0</v>
      </c>
      <c r="AY70" s="105">
        <v>0</v>
      </c>
      <c r="AZ70" s="105">
        <v>0</v>
      </c>
      <c r="BA70" s="105">
        <v>0</v>
      </c>
      <c r="BB70" s="105">
        <v>0</v>
      </c>
    </row>
    <row r="71" spans="1:54" ht="187.5" outlineLevel="3" x14ac:dyDescent="0.25">
      <c r="A71" s="100" t="s">
        <v>369</v>
      </c>
      <c r="B71" s="101" t="s">
        <v>372</v>
      </c>
      <c r="C71" s="106" t="s">
        <v>66</v>
      </c>
      <c r="D71" s="106" t="s">
        <v>36</v>
      </c>
      <c r="E71" s="103">
        <f>SUM(F71:I71)</f>
        <v>355</v>
      </c>
      <c r="F71" s="104">
        <v>0</v>
      </c>
      <c r="G71" s="104">
        <v>0</v>
      </c>
      <c r="H71" s="104">
        <f t="shared" si="138"/>
        <v>355</v>
      </c>
      <c r="I71" s="104">
        <v>0</v>
      </c>
      <c r="J71" s="99">
        <f>M71</f>
        <v>0</v>
      </c>
      <c r="K71" s="105">
        <v>0</v>
      </c>
      <c r="L71" s="105">
        <v>0</v>
      </c>
      <c r="M71" s="105">
        <v>0</v>
      </c>
      <c r="N71" s="105">
        <v>0</v>
      </c>
      <c r="O71" s="99">
        <f>R71</f>
        <v>0</v>
      </c>
      <c r="P71" s="105">
        <v>0</v>
      </c>
      <c r="Q71" s="105">
        <v>0</v>
      </c>
      <c r="R71" s="105">
        <v>0</v>
      </c>
      <c r="S71" s="105">
        <v>0</v>
      </c>
      <c r="T71" s="99">
        <f>W71</f>
        <v>0</v>
      </c>
      <c r="U71" s="105">
        <v>0</v>
      </c>
      <c r="V71" s="105">
        <v>0</v>
      </c>
      <c r="W71" s="105">
        <v>0</v>
      </c>
      <c r="X71" s="105">
        <v>0</v>
      </c>
      <c r="Y71" s="99">
        <f>AB71</f>
        <v>355</v>
      </c>
      <c r="Z71" s="105">
        <v>0</v>
      </c>
      <c r="AA71" s="105">
        <v>0</v>
      </c>
      <c r="AB71" s="105">
        <v>355</v>
      </c>
      <c r="AC71" s="105">
        <v>0</v>
      </c>
      <c r="AD71" s="99">
        <f t="shared" si="274"/>
        <v>0</v>
      </c>
      <c r="AE71" s="105">
        <v>0</v>
      </c>
      <c r="AF71" s="105">
        <v>0</v>
      </c>
      <c r="AG71" s="105">
        <v>0</v>
      </c>
      <c r="AH71" s="105">
        <v>0</v>
      </c>
      <c r="AI71" s="99">
        <f>AL71</f>
        <v>0</v>
      </c>
      <c r="AJ71" s="105">
        <v>0</v>
      </c>
      <c r="AK71" s="105">
        <v>0</v>
      </c>
      <c r="AL71" s="105">
        <v>0</v>
      </c>
      <c r="AM71" s="105">
        <v>0</v>
      </c>
      <c r="AN71" s="99">
        <f>AQ71</f>
        <v>0</v>
      </c>
      <c r="AO71" s="105">
        <v>0</v>
      </c>
      <c r="AP71" s="105">
        <v>0</v>
      </c>
      <c r="AQ71" s="105">
        <v>0</v>
      </c>
      <c r="AR71" s="105">
        <v>0</v>
      </c>
      <c r="AS71" s="99">
        <f>AV71</f>
        <v>0</v>
      </c>
      <c r="AT71" s="105">
        <v>0</v>
      </c>
      <c r="AU71" s="105">
        <v>0</v>
      </c>
      <c r="AV71" s="105">
        <v>0</v>
      </c>
      <c r="AW71" s="105">
        <v>0</v>
      </c>
      <c r="AX71" s="99">
        <f>BA71</f>
        <v>0</v>
      </c>
      <c r="AY71" s="105">
        <v>0</v>
      </c>
      <c r="AZ71" s="105">
        <v>0</v>
      </c>
      <c r="BA71" s="105">
        <v>0</v>
      </c>
      <c r="BB71" s="105">
        <v>0</v>
      </c>
    </row>
    <row r="72" spans="1:54" ht="168.75" outlineLevel="3" x14ac:dyDescent="0.25">
      <c r="A72" s="100" t="s">
        <v>371</v>
      </c>
      <c r="B72" s="117" t="s">
        <v>414</v>
      </c>
      <c r="C72" s="106" t="s">
        <v>66</v>
      </c>
      <c r="D72" s="106" t="s">
        <v>36</v>
      </c>
      <c r="E72" s="103">
        <f>SUM(F72:I72)</f>
        <v>715</v>
      </c>
      <c r="F72" s="104">
        <v>0</v>
      </c>
      <c r="G72" s="104">
        <v>0</v>
      </c>
      <c r="H72" s="104">
        <f t="shared" ref="H72" si="276">M72+R72+W72+AB72+AG72+AL72+AQ72+AV72+BA72</f>
        <v>715</v>
      </c>
      <c r="I72" s="104">
        <v>0</v>
      </c>
      <c r="J72" s="99"/>
      <c r="K72" s="105"/>
      <c r="L72" s="105"/>
      <c r="M72" s="105"/>
      <c r="N72" s="105"/>
      <c r="O72" s="99"/>
      <c r="P72" s="105"/>
      <c r="Q72" s="105"/>
      <c r="R72" s="105"/>
      <c r="S72" s="105"/>
      <c r="T72" s="99"/>
      <c r="U72" s="105"/>
      <c r="V72" s="105"/>
      <c r="W72" s="105"/>
      <c r="X72" s="105"/>
      <c r="Y72" s="99"/>
      <c r="Z72" s="105"/>
      <c r="AA72" s="105"/>
      <c r="AB72" s="105"/>
      <c r="AC72" s="105"/>
      <c r="AD72" s="99">
        <f t="shared" si="274"/>
        <v>715</v>
      </c>
      <c r="AE72" s="105"/>
      <c r="AF72" s="105"/>
      <c r="AG72" s="105">
        <v>715</v>
      </c>
      <c r="AH72" s="105"/>
      <c r="AI72" s="99"/>
      <c r="AJ72" s="105"/>
      <c r="AK72" s="105"/>
      <c r="AL72" s="105"/>
      <c r="AM72" s="105"/>
      <c r="AN72" s="99"/>
      <c r="AO72" s="105"/>
      <c r="AP72" s="105"/>
      <c r="AQ72" s="105"/>
      <c r="AR72" s="105"/>
      <c r="AS72" s="99"/>
      <c r="AT72" s="105"/>
      <c r="AU72" s="105"/>
      <c r="AV72" s="105"/>
      <c r="AW72" s="105"/>
      <c r="AX72" s="99"/>
      <c r="AY72" s="105"/>
      <c r="AZ72" s="105"/>
      <c r="BA72" s="105"/>
      <c r="BB72" s="105"/>
    </row>
    <row r="73" spans="1:54" ht="112.5" outlineLevel="3" x14ac:dyDescent="0.25">
      <c r="A73" s="100" t="s">
        <v>415</v>
      </c>
      <c r="B73" s="117" t="s">
        <v>481</v>
      </c>
      <c r="C73" s="106" t="s">
        <v>66</v>
      </c>
      <c r="D73" s="106" t="s">
        <v>36</v>
      </c>
      <c r="E73" s="103">
        <f>SUM(F73:I73)</f>
        <v>54.3</v>
      </c>
      <c r="F73" s="104">
        <v>0</v>
      </c>
      <c r="G73" s="104">
        <v>0</v>
      </c>
      <c r="H73" s="104">
        <f t="shared" ref="H73" si="277">M73+R73+W73+AB73+AG73+AL73+AQ73+AV73+BA73</f>
        <v>54.3</v>
      </c>
      <c r="I73" s="104">
        <v>0</v>
      </c>
      <c r="J73" s="99"/>
      <c r="K73" s="105"/>
      <c r="L73" s="105"/>
      <c r="M73" s="105"/>
      <c r="N73" s="105"/>
      <c r="O73" s="99"/>
      <c r="P73" s="105"/>
      <c r="Q73" s="105"/>
      <c r="R73" s="105"/>
      <c r="S73" s="105"/>
      <c r="T73" s="99"/>
      <c r="U73" s="105"/>
      <c r="V73" s="105"/>
      <c r="W73" s="105"/>
      <c r="X73" s="105"/>
      <c r="Y73" s="99"/>
      <c r="Z73" s="105"/>
      <c r="AA73" s="105"/>
      <c r="AB73" s="105"/>
      <c r="AC73" s="105"/>
      <c r="AD73" s="99">
        <f t="shared" ref="AD73" si="278">AG73</f>
        <v>54.3</v>
      </c>
      <c r="AE73" s="105"/>
      <c r="AF73" s="105"/>
      <c r="AG73" s="105">
        <v>54.3</v>
      </c>
      <c r="AH73" s="105"/>
      <c r="AI73" s="99"/>
      <c r="AJ73" s="105"/>
      <c r="AK73" s="105"/>
      <c r="AL73" s="105"/>
      <c r="AM73" s="105"/>
      <c r="AN73" s="99"/>
      <c r="AO73" s="105"/>
      <c r="AP73" s="105"/>
      <c r="AQ73" s="105"/>
      <c r="AR73" s="105"/>
      <c r="AS73" s="99"/>
      <c r="AT73" s="105"/>
      <c r="AU73" s="105"/>
      <c r="AV73" s="105"/>
      <c r="AW73" s="105"/>
      <c r="AX73" s="99"/>
      <c r="AY73" s="105"/>
      <c r="AZ73" s="105"/>
      <c r="BA73" s="105"/>
      <c r="BB73" s="105"/>
    </row>
    <row r="74" spans="1:54" ht="150" outlineLevel="3" x14ac:dyDescent="0.25">
      <c r="A74" s="100" t="s">
        <v>416</v>
      </c>
      <c r="B74" s="117" t="s">
        <v>483</v>
      </c>
      <c r="C74" s="106" t="s">
        <v>66</v>
      </c>
      <c r="D74" s="106" t="s">
        <v>6</v>
      </c>
      <c r="E74" s="103">
        <f>SUM(F74:I74)</f>
        <v>1030</v>
      </c>
      <c r="F74" s="104">
        <v>0</v>
      </c>
      <c r="G74" s="104">
        <v>0</v>
      </c>
      <c r="H74" s="104">
        <f t="shared" ref="H74" si="279">M74+R74+W74+AB74+AG74+AL74+AQ74+AV74+BA74</f>
        <v>1030</v>
      </c>
      <c r="I74" s="104">
        <v>0</v>
      </c>
      <c r="J74" s="99"/>
      <c r="K74" s="105"/>
      <c r="L74" s="105"/>
      <c r="M74" s="105"/>
      <c r="N74" s="105"/>
      <c r="O74" s="99"/>
      <c r="P74" s="105"/>
      <c r="Q74" s="105"/>
      <c r="R74" s="105"/>
      <c r="S74" s="105"/>
      <c r="T74" s="99"/>
      <c r="U74" s="105"/>
      <c r="V74" s="105"/>
      <c r="W74" s="105"/>
      <c r="X74" s="105"/>
      <c r="Y74" s="99"/>
      <c r="Z74" s="105"/>
      <c r="AA74" s="105"/>
      <c r="AB74" s="105"/>
      <c r="AC74" s="105"/>
      <c r="AD74" s="99">
        <f t="shared" ref="AD74" si="280">AG74</f>
        <v>1030</v>
      </c>
      <c r="AE74" s="105"/>
      <c r="AF74" s="105"/>
      <c r="AG74" s="105">
        <v>1030</v>
      </c>
      <c r="AH74" s="105"/>
      <c r="AI74" s="99"/>
      <c r="AJ74" s="105"/>
      <c r="AK74" s="105"/>
      <c r="AL74" s="105"/>
      <c r="AM74" s="105"/>
      <c r="AN74" s="99"/>
      <c r="AO74" s="105"/>
      <c r="AP74" s="105"/>
      <c r="AQ74" s="105"/>
      <c r="AR74" s="105"/>
      <c r="AS74" s="99"/>
      <c r="AT74" s="105"/>
      <c r="AU74" s="105"/>
      <c r="AV74" s="105"/>
      <c r="AW74" s="105"/>
      <c r="AX74" s="99"/>
      <c r="AY74" s="105"/>
      <c r="AZ74" s="105"/>
      <c r="BA74" s="105"/>
      <c r="BB74" s="105"/>
    </row>
    <row r="75" spans="1:54" outlineLevel="3" x14ac:dyDescent="0.25">
      <c r="A75" s="100" t="s">
        <v>444</v>
      </c>
      <c r="B75" s="199" t="s">
        <v>424</v>
      </c>
      <c r="C75" s="200"/>
      <c r="D75" s="201"/>
      <c r="E75" s="103">
        <f>SUM(E76:E86)</f>
        <v>837.19999999999993</v>
      </c>
      <c r="F75" s="103">
        <f t="shared" ref="F75:BA75" si="281">SUM(F76:F86)</f>
        <v>0</v>
      </c>
      <c r="G75" s="103">
        <f t="shared" si="281"/>
        <v>0</v>
      </c>
      <c r="H75" s="103">
        <f t="shared" si="281"/>
        <v>837.19999999999993</v>
      </c>
      <c r="I75" s="103">
        <f t="shared" si="281"/>
        <v>0</v>
      </c>
      <c r="J75" s="103">
        <f t="shared" si="281"/>
        <v>0</v>
      </c>
      <c r="K75" s="103">
        <f t="shared" si="281"/>
        <v>0</v>
      </c>
      <c r="L75" s="103">
        <f t="shared" si="281"/>
        <v>0</v>
      </c>
      <c r="M75" s="103">
        <f t="shared" si="281"/>
        <v>0</v>
      </c>
      <c r="N75" s="103">
        <f t="shared" si="281"/>
        <v>0</v>
      </c>
      <c r="O75" s="103">
        <f t="shared" si="281"/>
        <v>0</v>
      </c>
      <c r="P75" s="103">
        <f t="shared" si="281"/>
        <v>0</v>
      </c>
      <c r="Q75" s="103">
        <f t="shared" si="281"/>
        <v>0</v>
      </c>
      <c r="R75" s="103">
        <f t="shared" si="281"/>
        <v>0</v>
      </c>
      <c r="S75" s="103">
        <f t="shared" si="281"/>
        <v>0</v>
      </c>
      <c r="T75" s="103">
        <f t="shared" si="281"/>
        <v>0</v>
      </c>
      <c r="U75" s="103">
        <f t="shared" si="281"/>
        <v>0</v>
      </c>
      <c r="V75" s="103">
        <f t="shared" si="281"/>
        <v>0</v>
      </c>
      <c r="W75" s="103">
        <f t="shared" si="281"/>
        <v>0</v>
      </c>
      <c r="X75" s="103">
        <f t="shared" si="281"/>
        <v>0</v>
      </c>
      <c r="Y75" s="103">
        <f t="shared" si="281"/>
        <v>0</v>
      </c>
      <c r="Z75" s="103">
        <f t="shared" si="281"/>
        <v>0</v>
      </c>
      <c r="AA75" s="103">
        <f t="shared" si="281"/>
        <v>0</v>
      </c>
      <c r="AB75" s="103">
        <f t="shared" si="281"/>
        <v>0</v>
      </c>
      <c r="AC75" s="103">
        <f t="shared" si="281"/>
        <v>0</v>
      </c>
      <c r="AD75" s="103">
        <f t="shared" si="281"/>
        <v>837.19999999999993</v>
      </c>
      <c r="AE75" s="103">
        <f t="shared" si="281"/>
        <v>0</v>
      </c>
      <c r="AF75" s="103">
        <f t="shared" si="281"/>
        <v>0</v>
      </c>
      <c r="AG75" s="103">
        <f t="shared" si="281"/>
        <v>837.19999999999993</v>
      </c>
      <c r="AH75" s="103">
        <f t="shared" si="281"/>
        <v>0</v>
      </c>
      <c r="AI75" s="103">
        <f t="shared" si="281"/>
        <v>0</v>
      </c>
      <c r="AJ75" s="103">
        <f t="shared" si="281"/>
        <v>0</v>
      </c>
      <c r="AK75" s="103">
        <f t="shared" si="281"/>
        <v>0</v>
      </c>
      <c r="AL75" s="103">
        <f t="shared" si="281"/>
        <v>0</v>
      </c>
      <c r="AM75" s="103">
        <f t="shared" si="281"/>
        <v>0</v>
      </c>
      <c r="AN75" s="103">
        <f t="shared" si="281"/>
        <v>0</v>
      </c>
      <c r="AO75" s="103">
        <f t="shared" si="281"/>
        <v>0</v>
      </c>
      <c r="AP75" s="103">
        <f t="shared" si="281"/>
        <v>0</v>
      </c>
      <c r="AQ75" s="103">
        <f t="shared" si="281"/>
        <v>0</v>
      </c>
      <c r="AR75" s="103">
        <f t="shared" si="281"/>
        <v>0</v>
      </c>
      <c r="AS75" s="103">
        <f t="shared" si="281"/>
        <v>0</v>
      </c>
      <c r="AT75" s="103">
        <f t="shared" si="281"/>
        <v>0</v>
      </c>
      <c r="AU75" s="103">
        <f t="shared" si="281"/>
        <v>0</v>
      </c>
      <c r="AV75" s="103">
        <f t="shared" si="281"/>
        <v>0</v>
      </c>
      <c r="AW75" s="103">
        <f t="shared" si="281"/>
        <v>0</v>
      </c>
      <c r="AX75" s="103">
        <f t="shared" si="281"/>
        <v>0</v>
      </c>
      <c r="AY75" s="103">
        <f t="shared" si="281"/>
        <v>0</v>
      </c>
      <c r="AZ75" s="103">
        <f t="shared" si="281"/>
        <v>0</v>
      </c>
      <c r="BA75" s="103">
        <f t="shared" si="281"/>
        <v>0</v>
      </c>
      <c r="BB75" s="105">
        <v>0</v>
      </c>
    </row>
    <row r="76" spans="1:54" ht="56.25" outlineLevel="3" x14ac:dyDescent="0.25">
      <c r="A76" s="100" t="s">
        <v>445</v>
      </c>
      <c r="B76" s="118" t="s">
        <v>76</v>
      </c>
      <c r="C76" s="106" t="s">
        <v>66</v>
      </c>
      <c r="D76" s="106" t="s">
        <v>36</v>
      </c>
      <c r="E76" s="103">
        <f>SUM(F76:I76)</f>
        <v>209.6</v>
      </c>
      <c r="F76" s="104">
        <v>0</v>
      </c>
      <c r="G76" s="104">
        <v>0</v>
      </c>
      <c r="H76" s="104">
        <f t="shared" si="138"/>
        <v>209.6</v>
      </c>
      <c r="I76" s="104">
        <v>0</v>
      </c>
      <c r="J76" s="99">
        <f>M76</f>
        <v>0</v>
      </c>
      <c r="K76" s="105">
        <v>0</v>
      </c>
      <c r="L76" s="105">
        <v>0</v>
      </c>
      <c r="M76" s="105">
        <v>0</v>
      </c>
      <c r="N76" s="105">
        <v>0</v>
      </c>
      <c r="O76" s="99">
        <f>R76</f>
        <v>0</v>
      </c>
      <c r="P76" s="105">
        <v>0</v>
      </c>
      <c r="Q76" s="105">
        <v>0</v>
      </c>
      <c r="R76" s="105">
        <v>0</v>
      </c>
      <c r="S76" s="105">
        <v>0</v>
      </c>
      <c r="T76" s="99">
        <f>W76</f>
        <v>0</v>
      </c>
      <c r="U76" s="105">
        <v>0</v>
      </c>
      <c r="V76" s="105">
        <v>0</v>
      </c>
      <c r="W76" s="105">
        <v>0</v>
      </c>
      <c r="X76" s="105">
        <v>0</v>
      </c>
      <c r="Y76" s="99">
        <f>AB76</f>
        <v>0</v>
      </c>
      <c r="Z76" s="105">
        <v>0</v>
      </c>
      <c r="AA76" s="105">
        <v>0</v>
      </c>
      <c r="AB76" s="105">
        <v>0</v>
      </c>
      <c r="AC76" s="105">
        <v>0</v>
      </c>
      <c r="AD76" s="99">
        <f>AG76</f>
        <v>209.6</v>
      </c>
      <c r="AE76" s="105">
        <v>0</v>
      </c>
      <c r="AF76" s="105">
        <v>0</v>
      </c>
      <c r="AG76" s="119">
        <v>209.6</v>
      </c>
      <c r="AH76" s="105">
        <v>0</v>
      </c>
      <c r="AI76" s="99">
        <f>AL76</f>
        <v>0</v>
      </c>
      <c r="AJ76" s="105">
        <v>0</v>
      </c>
      <c r="AK76" s="105">
        <v>0</v>
      </c>
      <c r="AL76" s="105">
        <v>0</v>
      </c>
      <c r="AM76" s="105">
        <v>0</v>
      </c>
      <c r="AN76" s="99">
        <f>AQ76</f>
        <v>0</v>
      </c>
      <c r="AO76" s="105">
        <v>0</v>
      </c>
      <c r="AP76" s="105">
        <v>0</v>
      </c>
      <c r="AQ76" s="105">
        <v>0</v>
      </c>
      <c r="AR76" s="105">
        <v>0</v>
      </c>
      <c r="AS76" s="99">
        <f>AV76</f>
        <v>0</v>
      </c>
      <c r="AT76" s="105">
        <v>0</v>
      </c>
      <c r="AU76" s="105">
        <v>0</v>
      </c>
      <c r="AV76" s="105">
        <v>0</v>
      </c>
      <c r="AW76" s="105">
        <v>0</v>
      </c>
      <c r="AX76" s="99">
        <f>BA76</f>
        <v>0</v>
      </c>
      <c r="AY76" s="105">
        <v>0</v>
      </c>
      <c r="AZ76" s="105">
        <v>0</v>
      </c>
      <c r="BA76" s="105">
        <v>0</v>
      </c>
      <c r="BB76" s="105">
        <v>0</v>
      </c>
    </row>
    <row r="77" spans="1:54" ht="56.25" outlineLevel="3" x14ac:dyDescent="0.25">
      <c r="A77" s="100" t="s">
        <v>446</v>
      </c>
      <c r="B77" s="118" t="s">
        <v>78</v>
      </c>
      <c r="C77" s="106" t="s">
        <v>66</v>
      </c>
      <c r="D77" s="106" t="s">
        <v>36</v>
      </c>
      <c r="E77" s="103">
        <f t="shared" ref="E77:E86" si="282">SUM(F77:I77)</f>
        <v>31.2</v>
      </c>
      <c r="F77" s="104">
        <v>0</v>
      </c>
      <c r="G77" s="104">
        <v>0</v>
      </c>
      <c r="H77" s="104">
        <f t="shared" si="138"/>
        <v>31.2</v>
      </c>
      <c r="I77" s="104">
        <v>0</v>
      </c>
      <c r="J77" s="99">
        <f t="shared" ref="J77:J86" si="283">M77</f>
        <v>0</v>
      </c>
      <c r="K77" s="105">
        <v>0</v>
      </c>
      <c r="L77" s="105">
        <v>0</v>
      </c>
      <c r="M77" s="105">
        <v>0</v>
      </c>
      <c r="N77" s="105">
        <v>0</v>
      </c>
      <c r="O77" s="99">
        <f t="shared" ref="O77:O86" si="284">R77</f>
        <v>0</v>
      </c>
      <c r="P77" s="105">
        <v>0</v>
      </c>
      <c r="Q77" s="105">
        <v>0</v>
      </c>
      <c r="R77" s="105">
        <v>0</v>
      </c>
      <c r="S77" s="105">
        <v>0</v>
      </c>
      <c r="T77" s="99">
        <f t="shared" ref="T77:T86" si="285">W77</f>
        <v>0</v>
      </c>
      <c r="U77" s="105">
        <v>0</v>
      </c>
      <c r="V77" s="105">
        <v>0</v>
      </c>
      <c r="W77" s="105">
        <v>0</v>
      </c>
      <c r="X77" s="105">
        <v>0</v>
      </c>
      <c r="Y77" s="99">
        <f t="shared" ref="Y77:Y86" si="286">AB77</f>
        <v>0</v>
      </c>
      <c r="Z77" s="105">
        <v>0</v>
      </c>
      <c r="AA77" s="105">
        <v>0</v>
      </c>
      <c r="AB77" s="105">
        <v>0</v>
      </c>
      <c r="AC77" s="105">
        <v>0</v>
      </c>
      <c r="AD77" s="99">
        <f t="shared" ref="AD77:AD86" si="287">AG77</f>
        <v>31.2</v>
      </c>
      <c r="AE77" s="105">
        <v>0</v>
      </c>
      <c r="AF77" s="105">
        <v>0</v>
      </c>
      <c r="AG77" s="119">
        <v>31.2</v>
      </c>
      <c r="AH77" s="105">
        <v>0</v>
      </c>
      <c r="AI77" s="99">
        <f t="shared" ref="AI77:AI86" si="288">AL77</f>
        <v>0</v>
      </c>
      <c r="AJ77" s="105">
        <v>0</v>
      </c>
      <c r="AK77" s="105">
        <v>0</v>
      </c>
      <c r="AL77" s="105">
        <v>0</v>
      </c>
      <c r="AM77" s="105">
        <v>0</v>
      </c>
      <c r="AN77" s="99">
        <f t="shared" ref="AN77:AN86" si="289">AQ77</f>
        <v>0</v>
      </c>
      <c r="AO77" s="105">
        <v>0</v>
      </c>
      <c r="AP77" s="105">
        <v>0</v>
      </c>
      <c r="AQ77" s="105">
        <v>0</v>
      </c>
      <c r="AR77" s="105">
        <v>0</v>
      </c>
      <c r="AS77" s="99">
        <f t="shared" ref="AS77:AS86" si="290">AV77</f>
        <v>0</v>
      </c>
      <c r="AT77" s="105">
        <v>0</v>
      </c>
      <c r="AU77" s="105">
        <v>0</v>
      </c>
      <c r="AV77" s="105">
        <v>0</v>
      </c>
      <c r="AW77" s="105">
        <v>0</v>
      </c>
      <c r="AX77" s="99">
        <f t="shared" ref="AX77:AX86" si="291">BA77</f>
        <v>0</v>
      </c>
      <c r="AY77" s="105">
        <v>0</v>
      </c>
      <c r="AZ77" s="105">
        <v>0</v>
      </c>
      <c r="BA77" s="105">
        <v>0</v>
      </c>
      <c r="BB77" s="105">
        <v>0</v>
      </c>
    </row>
    <row r="78" spans="1:54" ht="56.25" outlineLevel="3" x14ac:dyDescent="0.25">
      <c r="A78" s="100" t="s">
        <v>447</v>
      </c>
      <c r="B78" s="118" t="s">
        <v>388</v>
      </c>
      <c r="C78" s="106" t="s">
        <v>66</v>
      </c>
      <c r="D78" s="106" t="s">
        <v>36</v>
      </c>
      <c r="E78" s="103">
        <f t="shared" si="282"/>
        <v>45.3</v>
      </c>
      <c r="F78" s="104">
        <v>0</v>
      </c>
      <c r="G78" s="104">
        <v>0</v>
      </c>
      <c r="H78" s="104">
        <f t="shared" si="138"/>
        <v>45.3</v>
      </c>
      <c r="I78" s="104">
        <v>0</v>
      </c>
      <c r="J78" s="99">
        <f t="shared" si="283"/>
        <v>0</v>
      </c>
      <c r="K78" s="105">
        <v>0</v>
      </c>
      <c r="L78" s="105">
        <v>0</v>
      </c>
      <c r="M78" s="105">
        <v>0</v>
      </c>
      <c r="N78" s="105">
        <v>0</v>
      </c>
      <c r="O78" s="99">
        <f t="shared" si="284"/>
        <v>0</v>
      </c>
      <c r="P78" s="105">
        <v>0</v>
      </c>
      <c r="Q78" s="105">
        <v>0</v>
      </c>
      <c r="R78" s="105">
        <v>0</v>
      </c>
      <c r="S78" s="105">
        <v>0</v>
      </c>
      <c r="T78" s="99">
        <f t="shared" si="285"/>
        <v>0</v>
      </c>
      <c r="U78" s="105">
        <v>0</v>
      </c>
      <c r="V78" s="105">
        <v>0</v>
      </c>
      <c r="W78" s="105">
        <v>0</v>
      </c>
      <c r="X78" s="105">
        <v>0</v>
      </c>
      <c r="Y78" s="99">
        <f t="shared" si="286"/>
        <v>0</v>
      </c>
      <c r="Z78" s="105">
        <v>0</v>
      </c>
      <c r="AA78" s="105">
        <v>0</v>
      </c>
      <c r="AB78" s="105">
        <v>0</v>
      </c>
      <c r="AC78" s="105">
        <v>0</v>
      </c>
      <c r="AD78" s="99">
        <f t="shared" si="287"/>
        <v>45.3</v>
      </c>
      <c r="AE78" s="105">
        <v>0</v>
      </c>
      <c r="AF78" s="105">
        <v>0</v>
      </c>
      <c r="AG78" s="119">
        <v>45.3</v>
      </c>
      <c r="AH78" s="105">
        <v>0</v>
      </c>
      <c r="AI78" s="99">
        <f t="shared" si="288"/>
        <v>0</v>
      </c>
      <c r="AJ78" s="105">
        <v>0</v>
      </c>
      <c r="AK78" s="105">
        <v>0</v>
      </c>
      <c r="AL78" s="105">
        <v>0</v>
      </c>
      <c r="AM78" s="105">
        <v>0</v>
      </c>
      <c r="AN78" s="99">
        <f t="shared" si="289"/>
        <v>0</v>
      </c>
      <c r="AO78" s="105">
        <v>0</v>
      </c>
      <c r="AP78" s="105">
        <v>0</v>
      </c>
      <c r="AQ78" s="105">
        <v>0</v>
      </c>
      <c r="AR78" s="105">
        <v>0</v>
      </c>
      <c r="AS78" s="99">
        <f t="shared" si="290"/>
        <v>0</v>
      </c>
      <c r="AT78" s="105">
        <v>0</v>
      </c>
      <c r="AU78" s="105">
        <v>0</v>
      </c>
      <c r="AV78" s="105">
        <v>0</v>
      </c>
      <c r="AW78" s="105">
        <v>0</v>
      </c>
      <c r="AX78" s="99">
        <f t="shared" si="291"/>
        <v>0</v>
      </c>
      <c r="AY78" s="105">
        <v>0</v>
      </c>
      <c r="AZ78" s="105">
        <v>0</v>
      </c>
      <c r="BA78" s="105">
        <v>0</v>
      </c>
      <c r="BB78" s="105">
        <v>0</v>
      </c>
    </row>
    <row r="79" spans="1:54" ht="56.25" outlineLevel="3" x14ac:dyDescent="0.25">
      <c r="A79" s="100" t="s">
        <v>448</v>
      </c>
      <c r="B79" s="118" t="s">
        <v>77</v>
      </c>
      <c r="C79" s="106" t="s">
        <v>66</v>
      </c>
      <c r="D79" s="106" t="s">
        <v>36</v>
      </c>
      <c r="E79" s="103">
        <f t="shared" si="282"/>
        <v>87.7</v>
      </c>
      <c r="F79" s="104">
        <v>0</v>
      </c>
      <c r="G79" s="104">
        <v>0</v>
      </c>
      <c r="H79" s="104">
        <f t="shared" si="138"/>
        <v>87.7</v>
      </c>
      <c r="I79" s="104">
        <v>0</v>
      </c>
      <c r="J79" s="99">
        <f t="shared" si="283"/>
        <v>0</v>
      </c>
      <c r="K79" s="105">
        <v>0</v>
      </c>
      <c r="L79" s="105">
        <v>0</v>
      </c>
      <c r="M79" s="105">
        <v>0</v>
      </c>
      <c r="N79" s="105">
        <v>0</v>
      </c>
      <c r="O79" s="99">
        <f t="shared" si="284"/>
        <v>0</v>
      </c>
      <c r="P79" s="105">
        <v>0</v>
      </c>
      <c r="Q79" s="105">
        <v>0</v>
      </c>
      <c r="R79" s="105">
        <v>0</v>
      </c>
      <c r="S79" s="105">
        <v>0</v>
      </c>
      <c r="T79" s="99">
        <f t="shared" si="285"/>
        <v>0</v>
      </c>
      <c r="U79" s="105">
        <v>0</v>
      </c>
      <c r="V79" s="105">
        <v>0</v>
      </c>
      <c r="W79" s="105">
        <v>0</v>
      </c>
      <c r="X79" s="105">
        <v>0</v>
      </c>
      <c r="Y79" s="99">
        <f t="shared" si="286"/>
        <v>0</v>
      </c>
      <c r="Z79" s="105">
        <v>0</v>
      </c>
      <c r="AA79" s="105">
        <v>0</v>
      </c>
      <c r="AB79" s="105">
        <v>0</v>
      </c>
      <c r="AC79" s="105">
        <v>0</v>
      </c>
      <c r="AD79" s="99">
        <f t="shared" si="287"/>
        <v>87.7</v>
      </c>
      <c r="AE79" s="105">
        <v>0</v>
      </c>
      <c r="AF79" s="105">
        <v>0</v>
      </c>
      <c r="AG79" s="119">
        <v>87.7</v>
      </c>
      <c r="AH79" s="105">
        <v>0</v>
      </c>
      <c r="AI79" s="99">
        <f t="shared" si="288"/>
        <v>0</v>
      </c>
      <c r="AJ79" s="105">
        <v>0</v>
      </c>
      <c r="AK79" s="105">
        <v>0</v>
      </c>
      <c r="AL79" s="105">
        <v>0</v>
      </c>
      <c r="AM79" s="105">
        <v>0</v>
      </c>
      <c r="AN79" s="99">
        <f t="shared" si="289"/>
        <v>0</v>
      </c>
      <c r="AO79" s="105">
        <v>0</v>
      </c>
      <c r="AP79" s="105">
        <v>0</v>
      </c>
      <c r="AQ79" s="105">
        <v>0</v>
      </c>
      <c r="AR79" s="105">
        <v>0</v>
      </c>
      <c r="AS79" s="99">
        <f t="shared" si="290"/>
        <v>0</v>
      </c>
      <c r="AT79" s="105">
        <v>0</v>
      </c>
      <c r="AU79" s="105">
        <v>0</v>
      </c>
      <c r="AV79" s="105">
        <v>0</v>
      </c>
      <c r="AW79" s="105">
        <v>0</v>
      </c>
      <c r="AX79" s="99">
        <f t="shared" si="291"/>
        <v>0</v>
      </c>
      <c r="AY79" s="105">
        <v>0</v>
      </c>
      <c r="AZ79" s="105">
        <v>0</v>
      </c>
      <c r="BA79" s="105">
        <v>0</v>
      </c>
      <c r="BB79" s="105">
        <v>0</v>
      </c>
    </row>
    <row r="80" spans="1:54" ht="56.25" outlineLevel="3" x14ac:dyDescent="0.25">
      <c r="A80" s="100" t="s">
        <v>449</v>
      </c>
      <c r="B80" s="118" t="s">
        <v>70</v>
      </c>
      <c r="C80" s="106" t="s">
        <v>66</v>
      </c>
      <c r="D80" s="106" t="s">
        <v>36</v>
      </c>
      <c r="E80" s="103">
        <f t="shared" si="282"/>
        <v>111</v>
      </c>
      <c r="F80" s="104">
        <v>0</v>
      </c>
      <c r="G80" s="104">
        <v>0</v>
      </c>
      <c r="H80" s="104">
        <f t="shared" si="138"/>
        <v>111</v>
      </c>
      <c r="I80" s="104">
        <v>0</v>
      </c>
      <c r="J80" s="99">
        <f t="shared" si="283"/>
        <v>0</v>
      </c>
      <c r="K80" s="105">
        <v>0</v>
      </c>
      <c r="L80" s="105">
        <v>0</v>
      </c>
      <c r="M80" s="105">
        <v>0</v>
      </c>
      <c r="N80" s="105">
        <v>0</v>
      </c>
      <c r="O80" s="99">
        <f t="shared" si="284"/>
        <v>0</v>
      </c>
      <c r="P80" s="105">
        <v>0</v>
      </c>
      <c r="Q80" s="105">
        <v>0</v>
      </c>
      <c r="R80" s="105">
        <v>0</v>
      </c>
      <c r="S80" s="105">
        <v>0</v>
      </c>
      <c r="T80" s="99">
        <f t="shared" si="285"/>
        <v>0</v>
      </c>
      <c r="U80" s="105">
        <v>0</v>
      </c>
      <c r="V80" s="105">
        <v>0</v>
      </c>
      <c r="W80" s="105">
        <v>0</v>
      </c>
      <c r="X80" s="105">
        <v>0</v>
      </c>
      <c r="Y80" s="99">
        <f t="shared" si="286"/>
        <v>0</v>
      </c>
      <c r="Z80" s="105">
        <v>0</v>
      </c>
      <c r="AA80" s="105">
        <v>0</v>
      </c>
      <c r="AB80" s="105">
        <v>0</v>
      </c>
      <c r="AC80" s="105">
        <v>0</v>
      </c>
      <c r="AD80" s="99">
        <f t="shared" si="287"/>
        <v>111</v>
      </c>
      <c r="AE80" s="105">
        <v>0</v>
      </c>
      <c r="AF80" s="105">
        <v>0</v>
      </c>
      <c r="AG80" s="119">
        <v>111</v>
      </c>
      <c r="AH80" s="105">
        <v>0</v>
      </c>
      <c r="AI80" s="99">
        <f t="shared" si="288"/>
        <v>0</v>
      </c>
      <c r="AJ80" s="105">
        <v>0</v>
      </c>
      <c r="AK80" s="105">
        <v>0</v>
      </c>
      <c r="AL80" s="105">
        <v>0</v>
      </c>
      <c r="AM80" s="105">
        <v>0</v>
      </c>
      <c r="AN80" s="99">
        <f t="shared" si="289"/>
        <v>0</v>
      </c>
      <c r="AO80" s="105">
        <v>0</v>
      </c>
      <c r="AP80" s="105">
        <v>0</v>
      </c>
      <c r="AQ80" s="105">
        <v>0</v>
      </c>
      <c r="AR80" s="105">
        <v>0</v>
      </c>
      <c r="AS80" s="99">
        <f t="shared" si="290"/>
        <v>0</v>
      </c>
      <c r="AT80" s="105">
        <v>0</v>
      </c>
      <c r="AU80" s="105">
        <v>0</v>
      </c>
      <c r="AV80" s="105">
        <v>0</v>
      </c>
      <c r="AW80" s="105">
        <v>0</v>
      </c>
      <c r="AX80" s="99">
        <f t="shared" si="291"/>
        <v>0</v>
      </c>
      <c r="AY80" s="105">
        <v>0</v>
      </c>
      <c r="AZ80" s="105">
        <v>0</v>
      </c>
      <c r="BA80" s="105">
        <v>0</v>
      </c>
      <c r="BB80" s="105">
        <v>0</v>
      </c>
    </row>
    <row r="81" spans="1:54" ht="56.25" outlineLevel="3" x14ac:dyDescent="0.25">
      <c r="A81" s="100" t="s">
        <v>450</v>
      </c>
      <c r="B81" s="118" t="s">
        <v>73</v>
      </c>
      <c r="C81" s="106" t="s">
        <v>66</v>
      </c>
      <c r="D81" s="106" t="s">
        <v>36</v>
      </c>
      <c r="E81" s="103">
        <f t="shared" si="282"/>
        <v>82.899999999999991</v>
      </c>
      <c r="F81" s="104">
        <v>0</v>
      </c>
      <c r="G81" s="104">
        <v>0</v>
      </c>
      <c r="H81" s="104">
        <f t="shared" si="138"/>
        <v>82.899999999999991</v>
      </c>
      <c r="I81" s="104">
        <v>0</v>
      </c>
      <c r="J81" s="99">
        <f t="shared" si="283"/>
        <v>0</v>
      </c>
      <c r="K81" s="105">
        <v>0</v>
      </c>
      <c r="L81" s="105">
        <v>0</v>
      </c>
      <c r="M81" s="105">
        <v>0</v>
      </c>
      <c r="N81" s="105">
        <v>0</v>
      </c>
      <c r="O81" s="99">
        <f t="shared" si="284"/>
        <v>0</v>
      </c>
      <c r="P81" s="105">
        <v>0</v>
      </c>
      <c r="Q81" s="105">
        <v>0</v>
      </c>
      <c r="R81" s="105">
        <v>0</v>
      </c>
      <c r="S81" s="105">
        <v>0</v>
      </c>
      <c r="T81" s="99">
        <f t="shared" si="285"/>
        <v>0</v>
      </c>
      <c r="U81" s="105">
        <v>0</v>
      </c>
      <c r="V81" s="105">
        <v>0</v>
      </c>
      <c r="W81" s="105">
        <v>0</v>
      </c>
      <c r="X81" s="105">
        <v>0</v>
      </c>
      <c r="Y81" s="99">
        <f t="shared" si="286"/>
        <v>0</v>
      </c>
      <c r="Z81" s="105">
        <v>0</v>
      </c>
      <c r="AA81" s="105">
        <v>0</v>
      </c>
      <c r="AB81" s="105">
        <v>0</v>
      </c>
      <c r="AC81" s="105">
        <v>0</v>
      </c>
      <c r="AD81" s="99">
        <f t="shared" si="287"/>
        <v>82.899999999999991</v>
      </c>
      <c r="AE81" s="105">
        <v>0</v>
      </c>
      <c r="AF81" s="105">
        <v>0</v>
      </c>
      <c r="AG81" s="119">
        <f>73.8+9.1</f>
        <v>82.899999999999991</v>
      </c>
      <c r="AH81" s="105">
        <v>0</v>
      </c>
      <c r="AI81" s="99">
        <f t="shared" si="288"/>
        <v>0</v>
      </c>
      <c r="AJ81" s="105">
        <v>0</v>
      </c>
      <c r="AK81" s="105">
        <v>0</v>
      </c>
      <c r="AL81" s="105">
        <v>0</v>
      </c>
      <c r="AM81" s="105">
        <v>0</v>
      </c>
      <c r="AN81" s="99">
        <f t="shared" si="289"/>
        <v>0</v>
      </c>
      <c r="AO81" s="105">
        <v>0</v>
      </c>
      <c r="AP81" s="105">
        <v>0</v>
      </c>
      <c r="AQ81" s="105">
        <v>0</v>
      </c>
      <c r="AR81" s="105">
        <v>0</v>
      </c>
      <c r="AS81" s="99">
        <f t="shared" si="290"/>
        <v>0</v>
      </c>
      <c r="AT81" s="105">
        <v>0</v>
      </c>
      <c r="AU81" s="105">
        <v>0</v>
      </c>
      <c r="AV81" s="105">
        <v>0</v>
      </c>
      <c r="AW81" s="105">
        <v>0</v>
      </c>
      <c r="AX81" s="99">
        <f t="shared" si="291"/>
        <v>0</v>
      </c>
      <c r="AY81" s="105">
        <v>0</v>
      </c>
      <c r="AZ81" s="105">
        <v>0</v>
      </c>
      <c r="BA81" s="105">
        <v>0</v>
      </c>
      <c r="BB81" s="105">
        <v>0</v>
      </c>
    </row>
    <row r="82" spans="1:54" ht="56.25" outlineLevel="3" x14ac:dyDescent="0.25">
      <c r="A82" s="100" t="s">
        <v>451</v>
      </c>
      <c r="B82" s="118" t="s">
        <v>72</v>
      </c>
      <c r="C82" s="106" t="s">
        <v>66</v>
      </c>
      <c r="D82" s="106" t="s">
        <v>36</v>
      </c>
      <c r="E82" s="103">
        <f t="shared" si="282"/>
        <v>80.400000000000006</v>
      </c>
      <c r="F82" s="104">
        <v>0</v>
      </c>
      <c r="G82" s="104">
        <v>0</v>
      </c>
      <c r="H82" s="104">
        <f t="shared" si="138"/>
        <v>80.400000000000006</v>
      </c>
      <c r="I82" s="104">
        <v>0</v>
      </c>
      <c r="J82" s="99">
        <f t="shared" si="283"/>
        <v>0</v>
      </c>
      <c r="K82" s="105">
        <v>0</v>
      </c>
      <c r="L82" s="105">
        <v>0</v>
      </c>
      <c r="M82" s="105">
        <v>0</v>
      </c>
      <c r="N82" s="105">
        <v>0</v>
      </c>
      <c r="O82" s="99">
        <f t="shared" si="284"/>
        <v>0</v>
      </c>
      <c r="P82" s="105">
        <v>0</v>
      </c>
      <c r="Q82" s="105">
        <v>0</v>
      </c>
      <c r="R82" s="105">
        <v>0</v>
      </c>
      <c r="S82" s="105">
        <v>0</v>
      </c>
      <c r="T82" s="99">
        <f t="shared" si="285"/>
        <v>0</v>
      </c>
      <c r="U82" s="105">
        <v>0</v>
      </c>
      <c r="V82" s="105">
        <v>0</v>
      </c>
      <c r="W82" s="105">
        <v>0</v>
      </c>
      <c r="X82" s="105">
        <v>0</v>
      </c>
      <c r="Y82" s="99">
        <f t="shared" si="286"/>
        <v>0</v>
      </c>
      <c r="Z82" s="105">
        <v>0</v>
      </c>
      <c r="AA82" s="105">
        <v>0</v>
      </c>
      <c r="AB82" s="105">
        <v>0</v>
      </c>
      <c r="AC82" s="105">
        <v>0</v>
      </c>
      <c r="AD82" s="99">
        <f t="shared" si="287"/>
        <v>80.400000000000006</v>
      </c>
      <c r="AE82" s="105">
        <v>0</v>
      </c>
      <c r="AF82" s="105">
        <v>0</v>
      </c>
      <c r="AG82" s="119">
        <v>80.400000000000006</v>
      </c>
      <c r="AH82" s="105">
        <v>0</v>
      </c>
      <c r="AI82" s="99">
        <f t="shared" si="288"/>
        <v>0</v>
      </c>
      <c r="AJ82" s="105">
        <v>0</v>
      </c>
      <c r="AK82" s="105">
        <v>0</v>
      </c>
      <c r="AL82" s="105">
        <v>0</v>
      </c>
      <c r="AM82" s="105">
        <v>0</v>
      </c>
      <c r="AN82" s="99">
        <f t="shared" si="289"/>
        <v>0</v>
      </c>
      <c r="AO82" s="105">
        <v>0</v>
      </c>
      <c r="AP82" s="105">
        <v>0</v>
      </c>
      <c r="AQ82" s="105">
        <v>0</v>
      </c>
      <c r="AR82" s="105">
        <v>0</v>
      </c>
      <c r="AS82" s="99">
        <f t="shared" si="290"/>
        <v>0</v>
      </c>
      <c r="AT82" s="105">
        <v>0</v>
      </c>
      <c r="AU82" s="105">
        <v>0</v>
      </c>
      <c r="AV82" s="105">
        <v>0</v>
      </c>
      <c r="AW82" s="105">
        <v>0</v>
      </c>
      <c r="AX82" s="99">
        <f t="shared" si="291"/>
        <v>0</v>
      </c>
      <c r="AY82" s="105">
        <v>0</v>
      </c>
      <c r="AZ82" s="105">
        <v>0</v>
      </c>
      <c r="BA82" s="105">
        <v>0</v>
      </c>
      <c r="BB82" s="105">
        <v>0</v>
      </c>
    </row>
    <row r="83" spans="1:54" ht="56.25" outlineLevel="3" x14ac:dyDescent="0.25">
      <c r="A83" s="100" t="s">
        <v>452</v>
      </c>
      <c r="B83" s="118" t="s">
        <v>75</v>
      </c>
      <c r="C83" s="106" t="s">
        <v>66</v>
      </c>
      <c r="D83" s="106" t="s">
        <v>36</v>
      </c>
      <c r="E83" s="103">
        <f t="shared" si="282"/>
        <v>64.599999999999994</v>
      </c>
      <c r="F83" s="104">
        <v>0</v>
      </c>
      <c r="G83" s="104">
        <v>0</v>
      </c>
      <c r="H83" s="104">
        <f t="shared" si="138"/>
        <v>64.599999999999994</v>
      </c>
      <c r="I83" s="104">
        <v>0</v>
      </c>
      <c r="J83" s="99">
        <f t="shared" si="283"/>
        <v>0</v>
      </c>
      <c r="K83" s="105">
        <v>0</v>
      </c>
      <c r="L83" s="105">
        <v>0</v>
      </c>
      <c r="M83" s="105">
        <v>0</v>
      </c>
      <c r="N83" s="105">
        <v>0</v>
      </c>
      <c r="O83" s="99">
        <f t="shared" si="284"/>
        <v>0</v>
      </c>
      <c r="P83" s="105">
        <v>0</v>
      </c>
      <c r="Q83" s="105">
        <v>0</v>
      </c>
      <c r="R83" s="105">
        <v>0</v>
      </c>
      <c r="S83" s="105">
        <v>0</v>
      </c>
      <c r="T83" s="99">
        <f t="shared" si="285"/>
        <v>0</v>
      </c>
      <c r="U83" s="105">
        <v>0</v>
      </c>
      <c r="V83" s="105">
        <v>0</v>
      </c>
      <c r="W83" s="105">
        <v>0</v>
      </c>
      <c r="X83" s="105">
        <v>0</v>
      </c>
      <c r="Y83" s="99">
        <f t="shared" si="286"/>
        <v>0</v>
      </c>
      <c r="Z83" s="105">
        <v>0</v>
      </c>
      <c r="AA83" s="105">
        <v>0</v>
      </c>
      <c r="AB83" s="105">
        <v>0</v>
      </c>
      <c r="AC83" s="105">
        <v>0</v>
      </c>
      <c r="AD83" s="99">
        <f t="shared" si="287"/>
        <v>64.599999999999994</v>
      </c>
      <c r="AE83" s="105">
        <v>0</v>
      </c>
      <c r="AF83" s="105">
        <v>0</v>
      </c>
      <c r="AG83" s="119">
        <v>64.599999999999994</v>
      </c>
      <c r="AH83" s="105">
        <v>0</v>
      </c>
      <c r="AI83" s="99">
        <f t="shared" si="288"/>
        <v>0</v>
      </c>
      <c r="AJ83" s="105">
        <v>0</v>
      </c>
      <c r="AK83" s="105">
        <v>0</v>
      </c>
      <c r="AL83" s="105">
        <v>0</v>
      </c>
      <c r="AM83" s="105">
        <v>0</v>
      </c>
      <c r="AN83" s="99">
        <f t="shared" si="289"/>
        <v>0</v>
      </c>
      <c r="AO83" s="105">
        <v>0</v>
      </c>
      <c r="AP83" s="105">
        <v>0</v>
      </c>
      <c r="AQ83" s="105">
        <v>0</v>
      </c>
      <c r="AR83" s="105">
        <v>0</v>
      </c>
      <c r="AS83" s="99">
        <f t="shared" si="290"/>
        <v>0</v>
      </c>
      <c r="AT83" s="105">
        <v>0</v>
      </c>
      <c r="AU83" s="105">
        <v>0</v>
      </c>
      <c r="AV83" s="105">
        <v>0</v>
      </c>
      <c r="AW83" s="105">
        <v>0</v>
      </c>
      <c r="AX83" s="99">
        <f t="shared" si="291"/>
        <v>0</v>
      </c>
      <c r="AY83" s="105">
        <v>0</v>
      </c>
      <c r="AZ83" s="105">
        <v>0</v>
      </c>
      <c r="BA83" s="105">
        <v>0</v>
      </c>
      <c r="BB83" s="105">
        <v>0</v>
      </c>
    </row>
    <row r="84" spans="1:54" ht="56.25" outlineLevel="3" x14ac:dyDescent="0.25">
      <c r="A84" s="100" t="s">
        <v>453</v>
      </c>
      <c r="B84" s="118" t="s">
        <v>71</v>
      </c>
      <c r="C84" s="106" t="s">
        <v>66</v>
      </c>
      <c r="D84" s="106" t="s">
        <v>36</v>
      </c>
      <c r="E84" s="103">
        <f t="shared" si="282"/>
        <v>69.5</v>
      </c>
      <c r="F84" s="104">
        <v>0</v>
      </c>
      <c r="G84" s="104">
        <v>0</v>
      </c>
      <c r="H84" s="104">
        <f t="shared" si="138"/>
        <v>69.5</v>
      </c>
      <c r="I84" s="104">
        <v>0</v>
      </c>
      <c r="J84" s="99">
        <f t="shared" si="283"/>
        <v>0</v>
      </c>
      <c r="K84" s="105">
        <v>0</v>
      </c>
      <c r="L84" s="105">
        <v>0</v>
      </c>
      <c r="M84" s="105">
        <v>0</v>
      </c>
      <c r="N84" s="105">
        <v>0</v>
      </c>
      <c r="O84" s="99">
        <f t="shared" si="284"/>
        <v>0</v>
      </c>
      <c r="P84" s="105">
        <v>0</v>
      </c>
      <c r="Q84" s="105">
        <v>0</v>
      </c>
      <c r="R84" s="105">
        <v>0</v>
      </c>
      <c r="S84" s="105">
        <v>0</v>
      </c>
      <c r="T84" s="99">
        <f t="shared" si="285"/>
        <v>0</v>
      </c>
      <c r="U84" s="105">
        <v>0</v>
      </c>
      <c r="V84" s="105">
        <v>0</v>
      </c>
      <c r="W84" s="105">
        <v>0</v>
      </c>
      <c r="X84" s="105">
        <v>0</v>
      </c>
      <c r="Y84" s="99">
        <f t="shared" si="286"/>
        <v>0</v>
      </c>
      <c r="Z84" s="105">
        <v>0</v>
      </c>
      <c r="AA84" s="105">
        <v>0</v>
      </c>
      <c r="AB84" s="105">
        <v>0</v>
      </c>
      <c r="AC84" s="105">
        <v>0</v>
      </c>
      <c r="AD84" s="99">
        <f t="shared" si="287"/>
        <v>69.5</v>
      </c>
      <c r="AE84" s="105">
        <v>0</v>
      </c>
      <c r="AF84" s="105">
        <v>0</v>
      </c>
      <c r="AG84" s="119">
        <v>69.5</v>
      </c>
      <c r="AH84" s="105">
        <v>0</v>
      </c>
      <c r="AI84" s="99">
        <f t="shared" si="288"/>
        <v>0</v>
      </c>
      <c r="AJ84" s="105">
        <v>0</v>
      </c>
      <c r="AK84" s="105">
        <v>0</v>
      </c>
      <c r="AL84" s="105">
        <v>0</v>
      </c>
      <c r="AM84" s="105">
        <v>0</v>
      </c>
      <c r="AN84" s="99">
        <f t="shared" si="289"/>
        <v>0</v>
      </c>
      <c r="AO84" s="105">
        <v>0</v>
      </c>
      <c r="AP84" s="105">
        <v>0</v>
      </c>
      <c r="AQ84" s="105">
        <v>0</v>
      </c>
      <c r="AR84" s="105">
        <v>0</v>
      </c>
      <c r="AS84" s="99">
        <f t="shared" si="290"/>
        <v>0</v>
      </c>
      <c r="AT84" s="105">
        <v>0</v>
      </c>
      <c r="AU84" s="105">
        <v>0</v>
      </c>
      <c r="AV84" s="105">
        <v>0</v>
      </c>
      <c r="AW84" s="105">
        <v>0</v>
      </c>
      <c r="AX84" s="99">
        <f t="shared" si="291"/>
        <v>0</v>
      </c>
      <c r="AY84" s="105">
        <v>0</v>
      </c>
      <c r="AZ84" s="105">
        <v>0</v>
      </c>
      <c r="BA84" s="105">
        <v>0</v>
      </c>
      <c r="BB84" s="105">
        <v>0</v>
      </c>
    </row>
    <row r="85" spans="1:54" ht="56.25" outlineLevel="3" x14ac:dyDescent="0.25">
      <c r="A85" s="100" t="s">
        <v>454</v>
      </c>
      <c r="B85" s="118" t="s">
        <v>74</v>
      </c>
      <c r="C85" s="106" t="s">
        <v>66</v>
      </c>
      <c r="D85" s="106" t="s">
        <v>36</v>
      </c>
      <c r="E85" s="103">
        <f t="shared" si="282"/>
        <v>22</v>
      </c>
      <c r="F85" s="104">
        <v>0</v>
      </c>
      <c r="G85" s="104">
        <v>0</v>
      </c>
      <c r="H85" s="104">
        <f t="shared" si="138"/>
        <v>22</v>
      </c>
      <c r="I85" s="104">
        <v>0</v>
      </c>
      <c r="J85" s="99">
        <f t="shared" si="283"/>
        <v>0</v>
      </c>
      <c r="K85" s="105">
        <v>0</v>
      </c>
      <c r="L85" s="105">
        <v>0</v>
      </c>
      <c r="M85" s="105">
        <v>0</v>
      </c>
      <c r="N85" s="105">
        <v>0</v>
      </c>
      <c r="O85" s="99">
        <f t="shared" si="284"/>
        <v>0</v>
      </c>
      <c r="P85" s="105">
        <v>0</v>
      </c>
      <c r="Q85" s="105">
        <v>0</v>
      </c>
      <c r="R85" s="105">
        <v>0</v>
      </c>
      <c r="S85" s="105">
        <v>0</v>
      </c>
      <c r="T85" s="99">
        <f t="shared" si="285"/>
        <v>0</v>
      </c>
      <c r="U85" s="105">
        <v>0</v>
      </c>
      <c r="V85" s="105">
        <v>0</v>
      </c>
      <c r="W85" s="105">
        <v>0</v>
      </c>
      <c r="X85" s="105">
        <v>0</v>
      </c>
      <c r="Y85" s="99">
        <f t="shared" si="286"/>
        <v>0</v>
      </c>
      <c r="Z85" s="105">
        <v>0</v>
      </c>
      <c r="AA85" s="105">
        <v>0</v>
      </c>
      <c r="AB85" s="105">
        <v>0</v>
      </c>
      <c r="AC85" s="105">
        <v>0</v>
      </c>
      <c r="AD85" s="99">
        <f t="shared" si="287"/>
        <v>22</v>
      </c>
      <c r="AE85" s="105">
        <v>0</v>
      </c>
      <c r="AF85" s="105">
        <v>0</v>
      </c>
      <c r="AG85" s="119">
        <v>22</v>
      </c>
      <c r="AH85" s="105">
        <v>0</v>
      </c>
      <c r="AI85" s="99">
        <f t="shared" si="288"/>
        <v>0</v>
      </c>
      <c r="AJ85" s="105">
        <v>0</v>
      </c>
      <c r="AK85" s="105">
        <v>0</v>
      </c>
      <c r="AL85" s="105">
        <v>0</v>
      </c>
      <c r="AM85" s="105">
        <v>0</v>
      </c>
      <c r="AN85" s="99">
        <f t="shared" si="289"/>
        <v>0</v>
      </c>
      <c r="AO85" s="105">
        <v>0</v>
      </c>
      <c r="AP85" s="105">
        <v>0</v>
      </c>
      <c r="AQ85" s="105">
        <v>0</v>
      </c>
      <c r="AR85" s="105">
        <v>0</v>
      </c>
      <c r="AS85" s="99">
        <f t="shared" si="290"/>
        <v>0</v>
      </c>
      <c r="AT85" s="105">
        <v>0</v>
      </c>
      <c r="AU85" s="105">
        <v>0</v>
      </c>
      <c r="AV85" s="105">
        <v>0</v>
      </c>
      <c r="AW85" s="105">
        <v>0</v>
      </c>
      <c r="AX85" s="99">
        <f t="shared" si="291"/>
        <v>0</v>
      </c>
      <c r="AY85" s="105">
        <v>0</v>
      </c>
      <c r="AZ85" s="105">
        <v>0</v>
      </c>
      <c r="BA85" s="105">
        <v>0</v>
      </c>
      <c r="BB85" s="105">
        <v>0</v>
      </c>
    </row>
    <row r="86" spans="1:54" ht="56.25" outlineLevel="3" x14ac:dyDescent="0.25">
      <c r="A86" s="100" t="s">
        <v>455</v>
      </c>
      <c r="B86" s="118" t="s">
        <v>69</v>
      </c>
      <c r="C86" s="106" t="s">
        <v>66</v>
      </c>
      <c r="D86" s="106" t="s">
        <v>36</v>
      </c>
      <c r="E86" s="103">
        <f t="shared" si="282"/>
        <v>33</v>
      </c>
      <c r="F86" s="104">
        <v>0</v>
      </c>
      <c r="G86" s="104">
        <v>0</v>
      </c>
      <c r="H86" s="104">
        <f t="shared" si="138"/>
        <v>33</v>
      </c>
      <c r="I86" s="104">
        <v>0</v>
      </c>
      <c r="J86" s="99">
        <f t="shared" si="283"/>
        <v>0</v>
      </c>
      <c r="K86" s="105">
        <v>0</v>
      </c>
      <c r="L86" s="105">
        <v>0</v>
      </c>
      <c r="M86" s="105">
        <v>0</v>
      </c>
      <c r="N86" s="105">
        <v>0</v>
      </c>
      <c r="O86" s="99">
        <f t="shared" si="284"/>
        <v>0</v>
      </c>
      <c r="P86" s="105">
        <v>0</v>
      </c>
      <c r="Q86" s="105">
        <v>0</v>
      </c>
      <c r="R86" s="105">
        <v>0</v>
      </c>
      <c r="S86" s="105">
        <v>0</v>
      </c>
      <c r="T86" s="99">
        <f t="shared" si="285"/>
        <v>0</v>
      </c>
      <c r="U86" s="105">
        <v>0</v>
      </c>
      <c r="V86" s="105">
        <v>0</v>
      </c>
      <c r="W86" s="105">
        <v>0</v>
      </c>
      <c r="X86" s="105">
        <v>0</v>
      </c>
      <c r="Y86" s="99">
        <f t="shared" si="286"/>
        <v>0</v>
      </c>
      <c r="Z86" s="105">
        <v>0</v>
      </c>
      <c r="AA86" s="105">
        <v>0</v>
      </c>
      <c r="AB86" s="105">
        <v>0</v>
      </c>
      <c r="AC86" s="105">
        <v>0</v>
      </c>
      <c r="AD86" s="99">
        <f t="shared" si="287"/>
        <v>33</v>
      </c>
      <c r="AE86" s="105">
        <v>0</v>
      </c>
      <c r="AF86" s="105">
        <v>0</v>
      </c>
      <c r="AG86" s="119">
        <v>33</v>
      </c>
      <c r="AH86" s="105">
        <v>0</v>
      </c>
      <c r="AI86" s="99">
        <f t="shared" si="288"/>
        <v>0</v>
      </c>
      <c r="AJ86" s="105">
        <v>0</v>
      </c>
      <c r="AK86" s="105">
        <v>0</v>
      </c>
      <c r="AL86" s="105">
        <v>0</v>
      </c>
      <c r="AM86" s="105">
        <v>0</v>
      </c>
      <c r="AN86" s="99">
        <f t="shared" si="289"/>
        <v>0</v>
      </c>
      <c r="AO86" s="105">
        <v>0</v>
      </c>
      <c r="AP86" s="105">
        <v>0</v>
      </c>
      <c r="AQ86" s="105">
        <v>0</v>
      </c>
      <c r="AR86" s="105">
        <v>0</v>
      </c>
      <c r="AS86" s="99">
        <f t="shared" si="290"/>
        <v>0</v>
      </c>
      <c r="AT86" s="105">
        <v>0</v>
      </c>
      <c r="AU86" s="105">
        <v>0</v>
      </c>
      <c r="AV86" s="105">
        <v>0</v>
      </c>
      <c r="AW86" s="105">
        <v>0</v>
      </c>
      <c r="AX86" s="99">
        <f t="shared" si="291"/>
        <v>0</v>
      </c>
      <c r="AY86" s="105">
        <v>0</v>
      </c>
      <c r="AZ86" s="105">
        <v>0</v>
      </c>
      <c r="BA86" s="105">
        <v>0</v>
      </c>
      <c r="BB86" s="105">
        <v>0</v>
      </c>
    </row>
    <row r="87" spans="1:54" outlineLevel="3" x14ac:dyDescent="0.25">
      <c r="A87" s="100" t="s">
        <v>456</v>
      </c>
      <c r="B87" s="199" t="s">
        <v>458</v>
      </c>
      <c r="C87" s="200"/>
      <c r="D87" s="201"/>
      <c r="E87" s="103">
        <f>SUM(E88)</f>
        <v>805.5</v>
      </c>
      <c r="F87" s="103">
        <f t="shared" ref="F87:BB87" si="292">SUM(F88)</f>
        <v>0</v>
      </c>
      <c r="G87" s="103">
        <f t="shared" si="292"/>
        <v>0</v>
      </c>
      <c r="H87" s="103">
        <f t="shared" si="292"/>
        <v>805.5</v>
      </c>
      <c r="I87" s="103">
        <f t="shared" si="292"/>
        <v>0</v>
      </c>
      <c r="J87" s="103">
        <f t="shared" si="292"/>
        <v>0</v>
      </c>
      <c r="K87" s="103">
        <f t="shared" si="292"/>
        <v>0</v>
      </c>
      <c r="L87" s="103">
        <f t="shared" si="292"/>
        <v>0</v>
      </c>
      <c r="M87" s="103">
        <f t="shared" si="292"/>
        <v>0</v>
      </c>
      <c r="N87" s="103">
        <f t="shared" si="292"/>
        <v>0</v>
      </c>
      <c r="O87" s="103">
        <f t="shared" si="292"/>
        <v>0</v>
      </c>
      <c r="P87" s="103">
        <f t="shared" si="292"/>
        <v>0</v>
      </c>
      <c r="Q87" s="103">
        <f t="shared" si="292"/>
        <v>0</v>
      </c>
      <c r="R87" s="103">
        <f t="shared" si="292"/>
        <v>0</v>
      </c>
      <c r="S87" s="103">
        <f t="shared" si="292"/>
        <v>0</v>
      </c>
      <c r="T87" s="103">
        <f t="shared" si="292"/>
        <v>0</v>
      </c>
      <c r="U87" s="103">
        <f t="shared" si="292"/>
        <v>0</v>
      </c>
      <c r="V87" s="103">
        <f t="shared" si="292"/>
        <v>0</v>
      </c>
      <c r="W87" s="103">
        <f t="shared" si="292"/>
        <v>0</v>
      </c>
      <c r="X87" s="103">
        <f t="shared" si="292"/>
        <v>0</v>
      </c>
      <c r="Y87" s="103">
        <f t="shared" si="292"/>
        <v>0</v>
      </c>
      <c r="Z87" s="103">
        <f t="shared" si="292"/>
        <v>0</v>
      </c>
      <c r="AA87" s="103">
        <f t="shared" si="292"/>
        <v>0</v>
      </c>
      <c r="AB87" s="103">
        <f t="shared" si="292"/>
        <v>0</v>
      </c>
      <c r="AC87" s="103">
        <f t="shared" si="292"/>
        <v>0</v>
      </c>
      <c r="AD87" s="103">
        <f t="shared" si="292"/>
        <v>805.5</v>
      </c>
      <c r="AE87" s="103">
        <f t="shared" si="292"/>
        <v>0</v>
      </c>
      <c r="AF87" s="103">
        <f t="shared" si="292"/>
        <v>0</v>
      </c>
      <c r="AG87" s="103">
        <f t="shared" si="292"/>
        <v>805.5</v>
      </c>
      <c r="AH87" s="103">
        <f t="shared" si="292"/>
        <v>0</v>
      </c>
      <c r="AI87" s="103">
        <f t="shared" si="292"/>
        <v>0</v>
      </c>
      <c r="AJ87" s="103">
        <f t="shared" si="292"/>
        <v>0</v>
      </c>
      <c r="AK87" s="103">
        <f t="shared" si="292"/>
        <v>0</v>
      </c>
      <c r="AL87" s="103">
        <f t="shared" si="292"/>
        <v>0</v>
      </c>
      <c r="AM87" s="103">
        <f t="shared" si="292"/>
        <v>0</v>
      </c>
      <c r="AN87" s="103">
        <f t="shared" si="292"/>
        <v>0</v>
      </c>
      <c r="AO87" s="103">
        <f t="shared" si="292"/>
        <v>0</v>
      </c>
      <c r="AP87" s="103">
        <f t="shared" si="292"/>
        <v>0</v>
      </c>
      <c r="AQ87" s="103">
        <f t="shared" si="292"/>
        <v>0</v>
      </c>
      <c r="AR87" s="103">
        <f t="shared" si="292"/>
        <v>0</v>
      </c>
      <c r="AS87" s="103">
        <f t="shared" si="292"/>
        <v>0</v>
      </c>
      <c r="AT87" s="103">
        <f t="shared" si="292"/>
        <v>0</v>
      </c>
      <c r="AU87" s="103">
        <f t="shared" si="292"/>
        <v>0</v>
      </c>
      <c r="AV87" s="103">
        <f t="shared" si="292"/>
        <v>0</v>
      </c>
      <c r="AW87" s="103">
        <f t="shared" si="292"/>
        <v>0</v>
      </c>
      <c r="AX87" s="103">
        <f t="shared" si="292"/>
        <v>0</v>
      </c>
      <c r="AY87" s="103">
        <f t="shared" si="292"/>
        <v>0</v>
      </c>
      <c r="AZ87" s="103">
        <f t="shared" si="292"/>
        <v>0</v>
      </c>
      <c r="BA87" s="103">
        <f t="shared" si="292"/>
        <v>0</v>
      </c>
      <c r="BB87" s="103">
        <f t="shared" si="292"/>
        <v>0</v>
      </c>
    </row>
    <row r="88" spans="1:54" ht="56.25" outlineLevel="3" x14ac:dyDescent="0.25">
      <c r="A88" s="100" t="s">
        <v>457</v>
      </c>
      <c r="B88" s="118" t="s">
        <v>74</v>
      </c>
      <c r="C88" s="106" t="s">
        <v>66</v>
      </c>
      <c r="D88" s="106" t="s">
        <v>36</v>
      </c>
      <c r="E88" s="103">
        <f>SUM(F88:I88)</f>
        <v>805.5</v>
      </c>
      <c r="F88" s="104">
        <v>0</v>
      </c>
      <c r="G88" s="104">
        <v>0</v>
      </c>
      <c r="H88" s="104">
        <f t="shared" ref="H88" si="293">M88+R88+W88+AB88+AG88+AL88+AQ88+AV88+BA88</f>
        <v>805.5</v>
      </c>
      <c r="I88" s="104">
        <v>0</v>
      </c>
      <c r="J88" s="99">
        <f>M88</f>
        <v>0</v>
      </c>
      <c r="K88" s="105">
        <v>0</v>
      </c>
      <c r="L88" s="105">
        <v>0</v>
      </c>
      <c r="M88" s="105">
        <v>0</v>
      </c>
      <c r="N88" s="105">
        <v>0</v>
      </c>
      <c r="O88" s="99">
        <f>R88</f>
        <v>0</v>
      </c>
      <c r="P88" s="105">
        <v>0</v>
      </c>
      <c r="Q88" s="105">
        <v>0</v>
      </c>
      <c r="R88" s="105">
        <v>0</v>
      </c>
      <c r="S88" s="105">
        <v>0</v>
      </c>
      <c r="T88" s="99">
        <f>W88</f>
        <v>0</v>
      </c>
      <c r="U88" s="105">
        <v>0</v>
      </c>
      <c r="V88" s="105">
        <v>0</v>
      </c>
      <c r="W88" s="105">
        <v>0</v>
      </c>
      <c r="X88" s="105">
        <v>0</v>
      </c>
      <c r="Y88" s="99">
        <f>AB88</f>
        <v>0</v>
      </c>
      <c r="Z88" s="105">
        <v>0</v>
      </c>
      <c r="AA88" s="105">
        <v>0</v>
      </c>
      <c r="AB88" s="105">
        <v>0</v>
      </c>
      <c r="AC88" s="105">
        <v>0</v>
      </c>
      <c r="AD88" s="99">
        <f>AG88</f>
        <v>805.5</v>
      </c>
      <c r="AE88" s="105">
        <v>0</v>
      </c>
      <c r="AF88" s="105">
        <v>0</v>
      </c>
      <c r="AG88" s="119">
        <v>805.5</v>
      </c>
      <c r="AH88" s="105">
        <v>0</v>
      </c>
      <c r="AI88" s="99">
        <f>AL88</f>
        <v>0</v>
      </c>
      <c r="AJ88" s="105">
        <v>0</v>
      </c>
      <c r="AK88" s="105">
        <v>0</v>
      </c>
      <c r="AL88" s="119">
        <v>0</v>
      </c>
      <c r="AM88" s="105">
        <v>0</v>
      </c>
      <c r="AN88" s="99">
        <f>AQ88</f>
        <v>0</v>
      </c>
      <c r="AO88" s="105">
        <v>0</v>
      </c>
      <c r="AP88" s="105">
        <v>0</v>
      </c>
      <c r="AQ88" s="120">
        <v>0</v>
      </c>
      <c r="AR88" s="105">
        <v>0</v>
      </c>
      <c r="AS88" s="99">
        <f>AV88</f>
        <v>0</v>
      </c>
      <c r="AT88" s="105">
        <v>0</v>
      </c>
      <c r="AU88" s="105">
        <v>0</v>
      </c>
      <c r="AV88" s="120">
        <v>0</v>
      </c>
      <c r="AW88" s="105">
        <v>0</v>
      </c>
      <c r="AX88" s="99">
        <f>BA88</f>
        <v>0</v>
      </c>
      <c r="AY88" s="105">
        <v>0</v>
      </c>
      <c r="AZ88" s="105">
        <v>0</v>
      </c>
      <c r="BA88" s="120">
        <v>0</v>
      </c>
      <c r="BB88" s="105"/>
    </row>
    <row r="89" spans="1:54" outlineLevel="3" x14ac:dyDescent="0.25">
      <c r="A89" s="121" t="s">
        <v>212</v>
      </c>
      <c r="B89" s="193" t="s">
        <v>428</v>
      </c>
      <c r="C89" s="194"/>
      <c r="D89" s="195"/>
      <c r="E89" s="103">
        <f>SUM(E90:E91)</f>
        <v>1648.6</v>
      </c>
      <c r="F89" s="103">
        <f t="shared" ref="F89:BB89" si="294">SUM(F90:F91)</f>
        <v>0</v>
      </c>
      <c r="G89" s="103">
        <f t="shared" si="294"/>
        <v>0</v>
      </c>
      <c r="H89" s="103">
        <f t="shared" si="294"/>
        <v>1648.6</v>
      </c>
      <c r="I89" s="103">
        <f t="shared" si="294"/>
        <v>0</v>
      </c>
      <c r="J89" s="103">
        <f t="shared" si="294"/>
        <v>0</v>
      </c>
      <c r="K89" s="103">
        <f t="shared" si="294"/>
        <v>0</v>
      </c>
      <c r="L89" s="103">
        <f t="shared" si="294"/>
        <v>0</v>
      </c>
      <c r="M89" s="103">
        <f t="shared" si="294"/>
        <v>0</v>
      </c>
      <c r="N89" s="103">
        <f t="shared" si="294"/>
        <v>0</v>
      </c>
      <c r="O89" s="103">
        <f t="shared" si="294"/>
        <v>0</v>
      </c>
      <c r="P89" s="103">
        <f t="shared" si="294"/>
        <v>0</v>
      </c>
      <c r="Q89" s="103">
        <f t="shared" si="294"/>
        <v>0</v>
      </c>
      <c r="R89" s="103">
        <f t="shared" si="294"/>
        <v>0</v>
      </c>
      <c r="S89" s="103">
        <f t="shared" si="294"/>
        <v>0</v>
      </c>
      <c r="T89" s="103">
        <f t="shared" si="294"/>
        <v>0</v>
      </c>
      <c r="U89" s="103">
        <f t="shared" si="294"/>
        <v>0</v>
      </c>
      <c r="V89" s="103">
        <f t="shared" si="294"/>
        <v>0</v>
      </c>
      <c r="W89" s="103">
        <f t="shared" si="294"/>
        <v>0</v>
      </c>
      <c r="X89" s="103">
        <f t="shared" si="294"/>
        <v>0</v>
      </c>
      <c r="Y89" s="103">
        <f t="shared" si="294"/>
        <v>0</v>
      </c>
      <c r="Z89" s="103">
        <f t="shared" si="294"/>
        <v>0</v>
      </c>
      <c r="AA89" s="103">
        <f t="shared" si="294"/>
        <v>0</v>
      </c>
      <c r="AB89" s="103">
        <f t="shared" si="294"/>
        <v>0</v>
      </c>
      <c r="AC89" s="103">
        <f t="shared" si="294"/>
        <v>0</v>
      </c>
      <c r="AD89" s="103">
        <f t="shared" si="294"/>
        <v>1648.6</v>
      </c>
      <c r="AE89" s="103">
        <f t="shared" si="294"/>
        <v>0</v>
      </c>
      <c r="AF89" s="103">
        <f t="shared" si="294"/>
        <v>0</v>
      </c>
      <c r="AG89" s="103">
        <f t="shared" si="294"/>
        <v>1648.6</v>
      </c>
      <c r="AH89" s="103">
        <f t="shared" si="294"/>
        <v>0</v>
      </c>
      <c r="AI89" s="103">
        <f t="shared" si="294"/>
        <v>0</v>
      </c>
      <c r="AJ89" s="103">
        <f t="shared" si="294"/>
        <v>0</v>
      </c>
      <c r="AK89" s="103">
        <f t="shared" si="294"/>
        <v>0</v>
      </c>
      <c r="AL89" s="103">
        <f t="shared" si="294"/>
        <v>0</v>
      </c>
      <c r="AM89" s="103">
        <f t="shared" si="294"/>
        <v>0</v>
      </c>
      <c r="AN89" s="103">
        <f t="shared" si="294"/>
        <v>0</v>
      </c>
      <c r="AO89" s="103">
        <f t="shared" si="294"/>
        <v>0</v>
      </c>
      <c r="AP89" s="103">
        <f t="shared" si="294"/>
        <v>0</v>
      </c>
      <c r="AQ89" s="103">
        <f t="shared" si="294"/>
        <v>0</v>
      </c>
      <c r="AR89" s="103">
        <f t="shared" si="294"/>
        <v>0</v>
      </c>
      <c r="AS89" s="103">
        <f t="shared" si="294"/>
        <v>0</v>
      </c>
      <c r="AT89" s="103">
        <f t="shared" si="294"/>
        <v>0</v>
      </c>
      <c r="AU89" s="103">
        <f t="shared" si="294"/>
        <v>0</v>
      </c>
      <c r="AV89" s="103">
        <f t="shared" si="294"/>
        <v>0</v>
      </c>
      <c r="AW89" s="103">
        <f t="shared" si="294"/>
        <v>0</v>
      </c>
      <c r="AX89" s="103">
        <f t="shared" si="294"/>
        <v>0</v>
      </c>
      <c r="AY89" s="103">
        <f t="shared" si="294"/>
        <v>0</v>
      </c>
      <c r="AZ89" s="103">
        <f t="shared" si="294"/>
        <v>0</v>
      </c>
      <c r="BA89" s="103">
        <f t="shared" si="294"/>
        <v>0</v>
      </c>
      <c r="BB89" s="103">
        <f t="shared" si="294"/>
        <v>0</v>
      </c>
    </row>
    <row r="90" spans="1:54" ht="93.75" outlineLevel="3" x14ac:dyDescent="0.25">
      <c r="A90" s="100" t="s">
        <v>427</v>
      </c>
      <c r="B90" s="101" t="s">
        <v>429</v>
      </c>
      <c r="C90" s="106" t="s">
        <v>66</v>
      </c>
      <c r="D90" s="106" t="s">
        <v>6</v>
      </c>
      <c r="E90" s="103">
        <f t="shared" ref="E90" si="295">SUM(F90:I90)</f>
        <v>1493.6</v>
      </c>
      <c r="F90" s="104">
        <v>0</v>
      </c>
      <c r="G90" s="104">
        <v>0</v>
      </c>
      <c r="H90" s="104">
        <f t="shared" ref="H90" si="296">M90+R90+W90+AB90+AG90+AL90+AQ90+AV90+BA90</f>
        <v>1493.6</v>
      </c>
      <c r="I90" s="104">
        <v>0</v>
      </c>
      <c r="J90" s="99">
        <f>M90</f>
        <v>0</v>
      </c>
      <c r="K90" s="105">
        <v>0</v>
      </c>
      <c r="L90" s="105">
        <v>0</v>
      </c>
      <c r="M90" s="105">
        <v>0</v>
      </c>
      <c r="N90" s="105">
        <v>0</v>
      </c>
      <c r="O90" s="99">
        <f>R90</f>
        <v>0</v>
      </c>
      <c r="P90" s="105">
        <v>0</v>
      </c>
      <c r="Q90" s="105">
        <v>0</v>
      </c>
      <c r="R90" s="105">
        <v>0</v>
      </c>
      <c r="S90" s="105">
        <v>0</v>
      </c>
      <c r="T90" s="99">
        <f>W90</f>
        <v>0</v>
      </c>
      <c r="U90" s="105">
        <v>0</v>
      </c>
      <c r="V90" s="105">
        <v>0</v>
      </c>
      <c r="W90" s="105">
        <v>0</v>
      </c>
      <c r="X90" s="105">
        <v>0</v>
      </c>
      <c r="Y90" s="99">
        <f>AB90</f>
        <v>0</v>
      </c>
      <c r="Z90" s="105">
        <v>0</v>
      </c>
      <c r="AA90" s="105">
        <v>0</v>
      </c>
      <c r="AB90" s="105">
        <v>0</v>
      </c>
      <c r="AC90" s="105">
        <v>0</v>
      </c>
      <c r="AD90" s="99">
        <f>AG90</f>
        <v>1493.6</v>
      </c>
      <c r="AE90" s="105">
        <v>0</v>
      </c>
      <c r="AF90" s="105">
        <v>0</v>
      </c>
      <c r="AG90" s="105">
        <v>1493.6</v>
      </c>
      <c r="AH90" s="105">
        <v>0</v>
      </c>
      <c r="AI90" s="99">
        <f>AL90</f>
        <v>0</v>
      </c>
      <c r="AJ90" s="105">
        <v>0</v>
      </c>
      <c r="AK90" s="105">
        <v>0</v>
      </c>
      <c r="AL90" s="105">
        <v>0</v>
      </c>
      <c r="AM90" s="105">
        <v>0</v>
      </c>
      <c r="AN90" s="99">
        <f>AQ90</f>
        <v>0</v>
      </c>
      <c r="AO90" s="105">
        <v>0</v>
      </c>
      <c r="AP90" s="105">
        <v>0</v>
      </c>
      <c r="AQ90" s="105">
        <v>0</v>
      </c>
      <c r="AR90" s="105">
        <v>0</v>
      </c>
      <c r="AS90" s="99">
        <f>AV90</f>
        <v>0</v>
      </c>
      <c r="AT90" s="105">
        <v>0</v>
      </c>
      <c r="AU90" s="105">
        <v>0</v>
      </c>
      <c r="AV90" s="105">
        <v>0</v>
      </c>
      <c r="AW90" s="105">
        <v>0</v>
      </c>
      <c r="AX90" s="99">
        <f>BA90</f>
        <v>0</v>
      </c>
      <c r="AY90" s="105">
        <v>0</v>
      </c>
      <c r="AZ90" s="105">
        <v>0</v>
      </c>
      <c r="BA90" s="105">
        <v>0</v>
      </c>
      <c r="BB90" s="105">
        <v>0</v>
      </c>
    </row>
    <row r="91" spans="1:54" ht="93.75" outlineLevel="3" x14ac:dyDescent="0.25">
      <c r="A91" s="100" t="s">
        <v>437</v>
      </c>
      <c r="B91" s="101" t="s">
        <v>436</v>
      </c>
      <c r="C91" s="106" t="s">
        <v>66</v>
      </c>
      <c r="D91" s="106" t="s">
        <v>6</v>
      </c>
      <c r="E91" s="103">
        <f t="shared" ref="E91" si="297">SUM(F91:I91)</f>
        <v>155</v>
      </c>
      <c r="F91" s="104">
        <v>0</v>
      </c>
      <c r="G91" s="104">
        <v>0</v>
      </c>
      <c r="H91" s="104">
        <f t="shared" ref="H91" si="298">M91+R91+W91+AB91+AG91+AL91+AQ91+AV91+BA91</f>
        <v>155</v>
      </c>
      <c r="I91" s="104">
        <v>0</v>
      </c>
      <c r="J91" s="99">
        <f>M91</f>
        <v>0</v>
      </c>
      <c r="K91" s="105">
        <v>0</v>
      </c>
      <c r="L91" s="105">
        <v>0</v>
      </c>
      <c r="M91" s="105">
        <v>0</v>
      </c>
      <c r="N91" s="105">
        <v>0</v>
      </c>
      <c r="O91" s="99">
        <f>R91</f>
        <v>0</v>
      </c>
      <c r="P91" s="105">
        <v>0</v>
      </c>
      <c r="Q91" s="105">
        <v>0</v>
      </c>
      <c r="R91" s="105">
        <v>0</v>
      </c>
      <c r="S91" s="105">
        <v>0</v>
      </c>
      <c r="T91" s="99">
        <f>W91</f>
        <v>0</v>
      </c>
      <c r="U91" s="105">
        <v>0</v>
      </c>
      <c r="V91" s="105">
        <v>0</v>
      </c>
      <c r="W91" s="105">
        <v>0</v>
      </c>
      <c r="X91" s="105">
        <v>0</v>
      </c>
      <c r="Y91" s="99">
        <f>AB91</f>
        <v>0</v>
      </c>
      <c r="Z91" s="105">
        <v>0</v>
      </c>
      <c r="AA91" s="105">
        <v>0</v>
      </c>
      <c r="AB91" s="105">
        <v>0</v>
      </c>
      <c r="AC91" s="105">
        <v>0</v>
      </c>
      <c r="AD91" s="99">
        <f>AG91</f>
        <v>155</v>
      </c>
      <c r="AE91" s="105">
        <v>0</v>
      </c>
      <c r="AF91" s="105">
        <v>0</v>
      </c>
      <c r="AG91" s="105">
        <f>115+40</f>
        <v>155</v>
      </c>
      <c r="AH91" s="105">
        <v>0</v>
      </c>
      <c r="AI91" s="99">
        <f>AL91</f>
        <v>0</v>
      </c>
      <c r="AJ91" s="105">
        <v>0</v>
      </c>
      <c r="AK91" s="105">
        <v>0</v>
      </c>
      <c r="AL91" s="105">
        <v>0</v>
      </c>
      <c r="AM91" s="105">
        <v>0</v>
      </c>
      <c r="AN91" s="99">
        <f>AQ91</f>
        <v>0</v>
      </c>
      <c r="AO91" s="105">
        <v>0</v>
      </c>
      <c r="AP91" s="105">
        <v>0</v>
      </c>
      <c r="AQ91" s="105">
        <v>0</v>
      </c>
      <c r="AR91" s="105">
        <v>0</v>
      </c>
      <c r="AS91" s="99">
        <f>AV91</f>
        <v>0</v>
      </c>
      <c r="AT91" s="105">
        <v>0</v>
      </c>
      <c r="AU91" s="105">
        <v>0</v>
      </c>
      <c r="AV91" s="105">
        <v>0</v>
      </c>
      <c r="AW91" s="105">
        <v>0</v>
      </c>
      <c r="AX91" s="99">
        <f>BA91</f>
        <v>0</v>
      </c>
      <c r="AY91" s="105">
        <v>0</v>
      </c>
      <c r="AZ91" s="105">
        <v>0</v>
      </c>
      <c r="BA91" s="105">
        <v>0</v>
      </c>
      <c r="BB91" s="105">
        <v>0</v>
      </c>
    </row>
    <row r="92" spans="1:54" s="98" customFormat="1" outlineLevel="1" x14ac:dyDescent="0.25">
      <c r="A92" s="97">
        <v>3</v>
      </c>
      <c r="B92" s="186" t="s">
        <v>17</v>
      </c>
      <c r="C92" s="186"/>
      <c r="D92" s="186"/>
      <c r="E92" s="99">
        <f>SUM(E93:E94)</f>
        <v>830208.80000000016</v>
      </c>
      <c r="F92" s="99">
        <f t="shared" ref="F92:AM92" si="299">SUM(F93:F94)</f>
        <v>0</v>
      </c>
      <c r="G92" s="99">
        <f t="shared" si="299"/>
        <v>0</v>
      </c>
      <c r="H92" s="99">
        <f t="shared" si="299"/>
        <v>830208.80000000016</v>
      </c>
      <c r="I92" s="99">
        <f t="shared" si="299"/>
        <v>0</v>
      </c>
      <c r="J92" s="99">
        <f t="shared" si="299"/>
        <v>63428</v>
      </c>
      <c r="K92" s="99">
        <f t="shared" si="299"/>
        <v>0</v>
      </c>
      <c r="L92" s="99">
        <f t="shared" si="299"/>
        <v>0</v>
      </c>
      <c r="M92" s="99">
        <f t="shared" si="299"/>
        <v>63428</v>
      </c>
      <c r="N92" s="99">
        <f t="shared" si="299"/>
        <v>0</v>
      </c>
      <c r="O92" s="99">
        <f>SUM(O93:O94)</f>
        <v>79769</v>
      </c>
      <c r="P92" s="99">
        <f t="shared" si="299"/>
        <v>0</v>
      </c>
      <c r="Q92" s="99">
        <f t="shared" si="299"/>
        <v>0</v>
      </c>
      <c r="R92" s="99">
        <f>SUM(R93:R94)</f>
        <v>79769</v>
      </c>
      <c r="S92" s="99">
        <f t="shared" si="299"/>
        <v>0</v>
      </c>
      <c r="T92" s="99">
        <f t="shared" si="299"/>
        <v>83659.200000000012</v>
      </c>
      <c r="U92" s="99">
        <f t="shared" si="299"/>
        <v>0</v>
      </c>
      <c r="V92" s="99">
        <f t="shared" si="299"/>
        <v>0</v>
      </c>
      <c r="W92" s="99">
        <f t="shared" si="299"/>
        <v>83659.200000000012</v>
      </c>
      <c r="X92" s="99">
        <f t="shared" si="299"/>
        <v>0</v>
      </c>
      <c r="Y92" s="99">
        <f t="shared" si="299"/>
        <v>81968</v>
      </c>
      <c r="Z92" s="99">
        <f t="shared" si="299"/>
        <v>0</v>
      </c>
      <c r="AA92" s="99">
        <f t="shared" si="299"/>
        <v>0</v>
      </c>
      <c r="AB92" s="99">
        <f t="shared" si="299"/>
        <v>81968</v>
      </c>
      <c r="AC92" s="99">
        <f t="shared" si="299"/>
        <v>0</v>
      </c>
      <c r="AD92" s="99">
        <f t="shared" si="299"/>
        <v>95445.400000000009</v>
      </c>
      <c r="AE92" s="99">
        <f t="shared" si="299"/>
        <v>0</v>
      </c>
      <c r="AF92" s="99">
        <f t="shared" si="299"/>
        <v>0</v>
      </c>
      <c r="AG92" s="99">
        <f t="shared" si="299"/>
        <v>95445.400000000009</v>
      </c>
      <c r="AH92" s="99">
        <f t="shared" si="299"/>
        <v>0</v>
      </c>
      <c r="AI92" s="99">
        <f t="shared" si="299"/>
        <v>101393.29999999999</v>
      </c>
      <c r="AJ92" s="99">
        <f t="shared" si="299"/>
        <v>0</v>
      </c>
      <c r="AK92" s="99">
        <f t="shared" si="299"/>
        <v>0</v>
      </c>
      <c r="AL92" s="99">
        <f t="shared" si="299"/>
        <v>101393.29999999999</v>
      </c>
      <c r="AM92" s="99">
        <f t="shared" si="299"/>
        <v>0</v>
      </c>
      <c r="AN92" s="99">
        <f t="shared" ref="AN92:AR92" si="300">SUM(AN93:AN94)</f>
        <v>103621.8</v>
      </c>
      <c r="AO92" s="99">
        <f t="shared" si="300"/>
        <v>0</v>
      </c>
      <c r="AP92" s="99">
        <f t="shared" si="300"/>
        <v>0</v>
      </c>
      <c r="AQ92" s="99">
        <f t="shared" si="300"/>
        <v>103621.8</v>
      </c>
      <c r="AR92" s="99">
        <f t="shared" si="300"/>
        <v>0</v>
      </c>
      <c r="AS92" s="99">
        <f t="shared" ref="AS92:BB92" si="301">SUM(AS93:AS94)</f>
        <v>108909.1</v>
      </c>
      <c r="AT92" s="99">
        <f t="shared" si="301"/>
        <v>0</v>
      </c>
      <c r="AU92" s="99">
        <f t="shared" si="301"/>
        <v>0</v>
      </c>
      <c r="AV92" s="99">
        <f t="shared" si="301"/>
        <v>108909.1</v>
      </c>
      <c r="AW92" s="99">
        <f t="shared" si="301"/>
        <v>0</v>
      </c>
      <c r="AX92" s="99">
        <f t="shared" si="301"/>
        <v>112015.00000000001</v>
      </c>
      <c r="AY92" s="99">
        <f t="shared" si="301"/>
        <v>0</v>
      </c>
      <c r="AZ92" s="99">
        <f t="shared" si="301"/>
        <v>0</v>
      </c>
      <c r="BA92" s="99">
        <f t="shared" si="301"/>
        <v>112015.00000000001</v>
      </c>
      <c r="BB92" s="99">
        <f t="shared" si="301"/>
        <v>0</v>
      </c>
    </row>
    <row r="93" spans="1:54" ht="131.25" outlineLevel="2" x14ac:dyDescent="0.25">
      <c r="A93" s="100" t="s">
        <v>51</v>
      </c>
      <c r="B93" s="122" t="s">
        <v>11</v>
      </c>
      <c r="C93" s="106" t="s">
        <v>102</v>
      </c>
      <c r="D93" s="106" t="s">
        <v>6</v>
      </c>
      <c r="E93" s="103">
        <f>SUM(F93:I93)</f>
        <v>804076.20000000019</v>
      </c>
      <c r="F93" s="104">
        <f t="shared" ref="F93:G94" si="302">K93+P93+U93</f>
        <v>0</v>
      </c>
      <c r="G93" s="104">
        <f t="shared" si="302"/>
        <v>0</v>
      </c>
      <c r="H93" s="104">
        <f t="shared" si="138"/>
        <v>804076.20000000019</v>
      </c>
      <c r="I93" s="104">
        <f t="shared" ref="I93:I94" si="303">N93+S93+X93</f>
        <v>0</v>
      </c>
      <c r="J93" s="99">
        <f t="shared" ref="J93:J94" si="304">SUM(K93:N93)</f>
        <v>62002.8</v>
      </c>
      <c r="K93" s="105">
        <v>0</v>
      </c>
      <c r="L93" s="105">
        <v>0</v>
      </c>
      <c r="M93" s="105">
        <v>62002.8</v>
      </c>
      <c r="N93" s="105">
        <v>0</v>
      </c>
      <c r="O93" s="99">
        <f t="shared" ref="O93:O94" si="305">SUM(P93:S93)</f>
        <v>78426.7</v>
      </c>
      <c r="P93" s="105">
        <v>0</v>
      </c>
      <c r="Q93" s="105">
        <v>0</v>
      </c>
      <c r="R93" s="123">
        <f>73084.1+1184-400+1400+961.9+1087.5-91.6+1200.8</f>
        <v>78426.7</v>
      </c>
      <c r="S93" s="105">
        <v>0</v>
      </c>
      <c r="T93" s="99">
        <f>SUM(U93:X93)</f>
        <v>79490.600000000006</v>
      </c>
      <c r="U93" s="105">
        <v>0</v>
      </c>
      <c r="V93" s="105">
        <v>0</v>
      </c>
      <c r="W93" s="105">
        <f>78510.8+231+795.5-46.7</f>
        <v>79490.600000000006</v>
      </c>
      <c r="X93" s="105">
        <v>0</v>
      </c>
      <c r="Y93" s="99">
        <f t="shared" ref="Y93:Y94" si="306">SUM(Z93:AC93)</f>
        <v>79202.600000000006</v>
      </c>
      <c r="Z93" s="105">
        <v>0</v>
      </c>
      <c r="AA93" s="105">
        <v>0</v>
      </c>
      <c r="AB93" s="105">
        <v>79202.600000000006</v>
      </c>
      <c r="AC93" s="105">
        <v>0</v>
      </c>
      <c r="AD93" s="99">
        <f t="shared" ref="AD93:AD94" si="307">SUM(AE93:AH93)</f>
        <v>91988.1</v>
      </c>
      <c r="AE93" s="105">
        <v>0</v>
      </c>
      <c r="AF93" s="105">
        <v>0</v>
      </c>
      <c r="AG93" s="105">
        <f>90551.1+1437</f>
        <v>91988.1</v>
      </c>
      <c r="AH93" s="105">
        <v>0</v>
      </c>
      <c r="AI93" s="99">
        <f t="shared" ref="AI93:AI94" si="308">SUM(AJ93:AM93)</f>
        <v>99320.799999999988</v>
      </c>
      <c r="AJ93" s="105">
        <v>0</v>
      </c>
      <c r="AK93" s="105">
        <v>0</v>
      </c>
      <c r="AL93" s="105">
        <f>95985.4+642+1457.3+1045.2+190.9</f>
        <v>99320.799999999988</v>
      </c>
      <c r="AM93" s="105">
        <v>0</v>
      </c>
      <c r="AN93" s="99">
        <f t="shared" ref="AN93:AN94" si="309">SUM(AO93:AR93)</f>
        <v>101029.1</v>
      </c>
      <c r="AO93" s="105">
        <v>0</v>
      </c>
      <c r="AP93" s="105">
        <v>0</v>
      </c>
      <c r="AQ93" s="105">
        <v>101029.1</v>
      </c>
      <c r="AR93" s="105">
        <v>0</v>
      </c>
      <c r="AS93" s="99">
        <f t="shared" ref="AS93:AS94" si="310">SUM(AT93:AW93)</f>
        <v>104754.8</v>
      </c>
      <c r="AT93" s="105">
        <v>0</v>
      </c>
      <c r="AU93" s="105">
        <v>0</v>
      </c>
      <c r="AV93" s="105">
        <f>101088.2+3666.6</f>
        <v>104754.8</v>
      </c>
      <c r="AW93" s="105">
        <v>0</v>
      </c>
      <c r="AX93" s="99">
        <f t="shared" ref="AX93:AX94" si="311">SUM(AY93:BB93)</f>
        <v>107860.70000000001</v>
      </c>
      <c r="AY93" s="105">
        <v>0</v>
      </c>
      <c r="AZ93" s="105">
        <v>0</v>
      </c>
      <c r="BA93" s="105">
        <f>104194.1+3666.6</f>
        <v>107860.70000000001</v>
      </c>
      <c r="BB93" s="105">
        <v>0</v>
      </c>
    </row>
    <row r="94" spans="1:54" ht="131.25" outlineLevel="2" x14ac:dyDescent="0.25">
      <c r="A94" s="100" t="s">
        <v>52</v>
      </c>
      <c r="B94" s="122" t="s">
        <v>12</v>
      </c>
      <c r="C94" s="106" t="s">
        <v>102</v>
      </c>
      <c r="D94" s="106" t="s">
        <v>6</v>
      </c>
      <c r="E94" s="103">
        <f t="shared" ref="E94" si="312">SUM(F94:I94)</f>
        <v>26132.6</v>
      </c>
      <c r="F94" s="104">
        <f t="shared" si="302"/>
        <v>0</v>
      </c>
      <c r="G94" s="104">
        <f t="shared" si="302"/>
        <v>0</v>
      </c>
      <c r="H94" s="104">
        <f t="shared" si="138"/>
        <v>26132.6</v>
      </c>
      <c r="I94" s="104">
        <f t="shared" si="303"/>
        <v>0</v>
      </c>
      <c r="J94" s="99">
        <f t="shared" si="304"/>
        <v>1425.2</v>
      </c>
      <c r="K94" s="105">
        <v>0</v>
      </c>
      <c r="L94" s="105">
        <v>0</v>
      </c>
      <c r="M94" s="105">
        <v>1425.2</v>
      </c>
      <c r="N94" s="105">
        <v>0</v>
      </c>
      <c r="O94" s="99">
        <f t="shared" si="305"/>
        <v>1342.3</v>
      </c>
      <c r="P94" s="105">
        <v>0</v>
      </c>
      <c r="Q94" s="105">
        <v>0</v>
      </c>
      <c r="R94" s="105">
        <f>3543.1-1000-1200.8</f>
        <v>1342.3</v>
      </c>
      <c r="S94" s="105">
        <v>0</v>
      </c>
      <c r="T94" s="99">
        <f t="shared" ref="T94" si="313">SUM(U94:X94)</f>
        <v>4168.6000000000004</v>
      </c>
      <c r="U94" s="105">
        <v>0</v>
      </c>
      <c r="V94" s="105">
        <v>0</v>
      </c>
      <c r="W94" s="105">
        <v>4168.6000000000004</v>
      </c>
      <c r="X94" s="105">
        <v>0</v>
      </c>
      <c r="Y94" s="99">
        <f t="shared" si="306"/>
        <v>2765.4</v>
      </c>
      <c r="Z94" s="105">
        <v>0</v>
      </c>
      <c r="AA94" s="105">
        <v>0</v>
      </c>
      <c r="AB94" s="105">
        <v>2765.4</v>
      </c>
      <c r="AC94" s="105">
        <v>0</v>
      </c>
      <c r="AD94" s="99">
        <f t="shared" si="307"/>
        <v>3457.3</v>
      </c>
      <c r="AE94" s="105">
        <v>0</v>
      </c>
      <c r="AF94" s="105">
        <v>0</v>
      </c>
      <c r="AG94" s="105">
        <v>3457.3</v>
      </c>
      <c r="AH94" s="105">
        <v>0</v>
      </c>
      <c r="AI94" s="99">
        <f t="shared" si="308"/>
        <v>2072.5</v>
      </c>
      <c r="AJ94" s="105">
        <v>0</v>
      </c>
      <c r="AK94" s="105">
        <v>0</v>
      </c>
      <c r="AL94" s="105">
        <f>3572.5-1500</f>
        <v>2072.5</v>
      </c>
      <c r="AM94" s="105">
        <v>0</v>
      </c>
      <c r="AN94" s="99">
        <f t="shared" si="309"/>
        <v>2592.6999999999998</v>
      </c>
      <c r="AO94" s="105">
        <v>0</v>
      </c>
      <c r="AP94" s="105">
        <v>0</v>
      </c>
      <c r="AQ94" s="105">
        <v>2592.6999999999998</v>
      </c>
      <c r="AR94" s="105">
        <v>0</v>
      </c>
      <c r="AS94" s="99">
        <f t="shared" si="310"/>
        <v>4154.3</v>
      </c>
      <c r="AT94" s="105">
        <v>0</v>
      </c>
      <c r="AU94" s="105">
        <v>0</v>
      </c>
      <c r="AV94" s="105">
        <v>4154.3</v>
      </c>
      <c r="AW94" s="105">
        <v>0</v>
      </c>
      <c r="AX94" s="99">
        <f t="shared" si="311"/>
        <v>4154.3</v>
      </c>
      <c r="AY94" s="105">
        <v>0</v>
      </c>
      <c r="AZ94" s="105">
        <v>0</v>
      </c>
      <c r="BA94" s="105">
        <v>4154.3</v>
      </c>
      <c r="BB94" s="105">
        <v>0</v>
      </c>
    </row>
    <row r="95" spans="1:54" s="98" customFormat="1" outlineLevel="1" x14ac:dyDescent="0.25">
      <c r="A95" s="97">
        <v>4</v>
      </c>
      <c r="B95" s="186" t="s">
        <v>18</v>
      </c>
      <c r="C95" s="186"/>
      <c r="D95" s="186"/>
      <c r="E95" s="99">
        <f>SUM(E96:E100)</f>
        <v>25638.3</v>
      </c>
      <c r="F95" s="99">
        <f t="shared" ref="F95:BA95" si="314">SUM(F96:F100)</f>
        <v>0</v>
      </c>
      <c r="G95" s="99">
        <f t="shared" si="314"/>
        <v>0</v>
      </c>
      <c r="H95" s="99">
        <f t="shared" si="314"/>
        <v>25638.3</v>
      </c>
      <c r="I95" s="99">
        <f t="shared" si="314"/>
        <v>0</v>
      </c>
      <c r="J95" s="99">
        <f t="shared" si="314"/>
        <v>2129.9</v>
      </c>
      <c r="K95" s="99">
        <f t="shared" si="314"/>
        <v>0</v>
      </c>
      <c r="L95" s="99">
        <f t="shared" si="314"/>
        <v>0</v>
      </c>
      <c r="M95" s="99">
        <f t="shared" si="314"/>
        <v>2129.9</v>
      </c>
      <c r="N95" s="99">
        <f t="shared" si="314"/>
        <v>0</v>
      </c>
      <c r="O95" s="99">
        <f t="shared" si="314"/>
        <v>2423</v>
      </c>
      <c r="P95" s="99">
        <f t="shared" si="314"/>
        <v>0</v>
      </c>
      <c r="Q95" s="99">
        <f t="shared" si="314"/>
        <v>0</v>
      </c>
      <c r="R95" s="99">
        <f t="shared" si="314"/>
        <v>2423</v>
      </c>
      <c r="S95" s="99">
        <f t="shared" si="314"/>
        <v>0</v>
      </c>
      <c r="T95" s="99">
        <f t="shared" si="314"/>
        <v>3043.7</v>
      </c>
      <c r="U95" s="99">
        <f t="shared" si="314"/>
        <v>0</v>
      </c>
      <c r="V95" s="99">
        <f t="shared" si="314"/>
        <v>0</v>
      </c>
      <c r="W95" s="99">
        <f t="shared" si="314"/>
        <v>3043.7</v>
      </c>
      <c r="X95" s="99">
        <f t="shared" si="314"/>
        <v>0</v>
      </c>
      <c r="Y95" s="99">
        <f t="shared" si="314"/>
        <v>2549.2000000000003</v>
      </c>
      <c r="Z95" s="99">
        <f t="shared" si="314"/>
        <v>0</v>
      </c>
      <c r="AA95" s="99">
        <f t="shared" si="314"/>
        <v>0</v>
      </c>
      <c r="AB95" s="99">
        <f t="shared" si="314"/>
        <v>2549.2000000000003</v>
      </c>
      <c r="AC95" s="99">
        <f t="shared" si="314"/>
        <v>0</v>
      </c>
      <c r="AD95" s="99">
        <f t="shared" si="314"/>
        <v>3191.4</v>
      </c>
      <c r="AE95" s="99">
        <f t="shared" si="314"/>
        <v>0</v>
      </c>
      <c r="AF95" s="99">
        <f t="shared" si="314"/>
        <v>0</v>
      </c>
      <c r="AG95" s="99">
        <f t="shared" si="314"/>
        <v>3191.4</v>
      </c>
      <c r="AH95" s="99">
        <f t="shared" si="314"/>
        <v>0</v>
      </c>
      <c r="AI95" s="99">
        <f t="shared" si="314"/>
        <v>3121.8</v>
      </c>
      <c r="AJ95" s="99">
        <f t="shared" si="314"/>
        <v>0</v>
      </c>
      <c r="AK95" s="99">
        <f t="shared" si="314"/>
        <v>0</v>
      </c>
      <c r="AL95" s="99">
        <f t="shared" si="314"/>
        <v>3121.8</v>
      </c>
      <c r="AM95" s="99">
        <f t="shared" si="314"/>
        <v>0</v>
      </c>
      <c r="AN95" s="99">
        <f t="shared" si="314"/>
        <v>3021.2</v>
      </c>
      <c r="AO95" s="99">
        <f t="shared" si="314"/>
        <v>0</v>
      </c>
      <c r="AP95" s="99">
        <f t="shared" si="314"/>
        <v>0</v>
      </c>
      <c r="AQ95" s="99">
        <f t="shared" si="314"/>
        <v>3021.2</v>
      </c>
      <c r="AR95" s="99">
        <f t="shared" si="314"/>
        <v>0</v>
      </c>
      <c r="AS95" s="99">
        <f t="shared" si="314"/>
        <v>3018.7</v>
      </c>
      <c r="AT95" s="99">
        <f t="shared" si="314"/>
        <v>0</v>
      </c>
      <c r="AU95" s="99">
        <f t="shared" si="314"/>
        <v>0</v>
      </c>
      <c r="AV95" s="99">
        <f t="shared" si="314"/>
        <v>3018.7</v>
      </c>
      <c r="AW95" s="99">
        <f t="shared" si="314"/>
        <v>0</v>
      </c>
      <c r="AX95" s="99">
        <f t="shared" si="314"/>
        <v>3139.4</v>
      </c>
      <c r="AY95" s="99">
        <f t="shared" si="314"/>
        <v>0</v>
      </c>
      <c r="AZ95" s="99">
        <f t="shared" si="314"/>
        <v>0</v>
      </c>
      <c r="BA95" s="99">
        <f t="shared" si="314"/>
        <v>3139.4</v>
      </c>
      <c r="BB95" s="99">
        <f t="shared" ref="BB95" si="315">SUM(BB96:BB99)</f>
        <v>0</v>
      </c>
    </row>
    <row r="96" spans="1:54" ht="150" outlineLevel="2" x14ac:dyDescent="0.25">
      <c r="A96" s="100" t="s">
        <v>53</v>
      </c>
      <c r="B96" s="122" t="s">
        <v>13</v>
      </c>
      <c r="C96" s="102" t="s">
        <v>66</v>
      </c>
      <c r="D96" s="102" t="s">
        <v>66</v>
      </c>
      <c r="E96" s="103">
        <f t="shared" ref="E96:E99" si="316">SUM(F96:I96)</f>
        <v>7490.1</v>
      </c>
      <c r="F96" s="104">
        <f t="shared" ref="F96:G99" si="317">K96+P96+U96</f>
        <v>0</v>
      </c>
      <c r="G96" s="104">
        <f t="shared" si="317"/>
        <v>0</v>
      </c>
      <c r="H96" s="104">
        <f t="shared" si="138"/>
        <v>7490.1</v>
      </c>
      <c r="I96" s="104">
        <f t="shared" ref="I96:I99" si="318">N96+S96+X96</f>
        <v>0</v>
      </c>
      <c r="J96" s="99">
        <f t="shared" ref="J96:J99" si="319">SUM(K96:N96)</f>
        <v>659.6</v>
      </c>
      <c r="K96" s="105">
        <v>0</v>
      </c>
      <c r="L96" s="105">
        <v>0</v>
      </c>
      <c r="M96" s="105">
        <f>449.2+210.4</f>
        <v>659.6</v>
      </c>
      <c r="N96" s="105">
        <v>0</v>
      </c>
      <c r="O96" s="99">
        <f t="shared" ref="O96:O99" si="320">SUM(P96:S96)</f>
        <v>982.30000000000007</v>
      </c>
      <c r="P96" s="105">
        <v>0</v>
      </c>
      <c r="Q96" s="105">
        <v>0</v>
      </c>
      <c r="R96" s="105">
        <f>794.7+187.6</f>
        <v>982.30000000000007</v>
      </c>
      <c r="S96" s="105">
        <v>0</v>
      </c>
      <c r="T96" s="99">
        <f t="shared" ref="T96:T99" si="321">SUM(U96:X96)</f>
        <v>1162</v>
      </c>
      <c r="U96" s="105">
        <v>0</v>
      </c>
      <c r="V96" s="105">
        <v>0</v>
      </c>
      <c r="W96" s="105">
        <f>826.4+335.6</f>
        <v>1162</v>
      </c>
      <c r="X96" s="105">
        <v>0</v>
      </c>
      <c r="Y96" s="99">
        <f t="shared" ref="Y96:Y97" si="322">SUM(Z96:AC96)</f>
        <v>740.2</v>
      </c>
      <c r="Z96" s="105">
        <v>0</v>
      </c>
      <c r="AA96" s="105">
        <v>0</v>
      </c>
      <c r="AB96" s="105">
        <v>740.2</v>
      </c>
      <c r="AC96" s="105">
        <v>0</v>
      </c>
      <c r="AD96" s="99">
        <f t="shared" ref="AD96" si="323">SUM(AE96:AH96)</f>
        <v>976.3</v>
      </c>
      <c r="AE96" s="105">
        <v>0</v>
      </c>
      <c r="AF96" s="105">
        <v>0</v>
      </c>
      <c r="AG96" s="105">
        <v>976.3</v>
      </c>
      <c r="AH96" s="105">
        <v>0</v>
      </c>
      <c r="AI96" s="99">
        <f t="shared" ref="AI96" si="324">SUM(AJ96:AM96)</f>
        <v>1087.3000000000002</v>
      </c>
      <c r="AJ96" s="105">
        <v>0</v>
      </c>
      <c r="AK96" s="105">
        <v>0</v>
      </c>
      <c r="AL96" s="105">
        <f>1432.2-344.9</f>
        <v>1087.3000000000002</v>
      </c>
      <c r="AM96" s="105">
        <v>0</v>
      </c>
      <c r="AN96" s="99">
        <f t="shared" ref="AN96:AN99" si="325">SUM(AO96:AR96)</f>
        <v>600.69999999999993</v>
      </c>
      <c r="AO96" s="105">
        <v>0</v>
      </c>
      <c r="AP96" s="105">
        <v>0</v>
      </c>
      <c r="AQ96" s="105">
        <f>543.3+57.4</f>
        <v>600.69999999999993</v>
      </c>
      <c r="AR96" s="105">
        <v>0</v>
      </c>
      <c r="AS96" s="99">
        <f t="shared" ref="AS96:AS99" si="326">SUM(AT96:AW96)</f>
        <v>628.29999999999995</v>
      </c>
      <c r="AT96" s="105">
        <v>0</v>
      </c>
      <c r="AU96" s="105">
        <v>0</v>
      </c>
      <c r="AV96" s="105">
        <f>568.3+60</f>
        <v>628.29999999999995</v>
      </c>
      <c r="AW96" s="105">
        <v>0</v>
      </c>
      <c r="AX96" s="99">
        <f t="shared" ref="AX96:AX99" si="327">SUM(AY96:BB96)</f>
        <v>653.4</v>
      </c>
      <c r="AY96" s="105">
        <v>0</v>
      </c>
      <c r="AZ96" s="105">
        <v>0</v>
      </c>
      <c r="BA96" s="105">
        <f>591+62.4</f>
        <v>653.4</v>
      </c>
      <c r="BB96" s="105">
        <v>0</v>
      </c>
    </row>
    <row r="97" spans="1:54" ht="131.25" outlineLevel="2" x14ac:dyDescent="0.25">
      <c r="A97" s="100" t="s">
        <v>54</v>
      </c>
      <c r="B97" s="122" t="s">
        <v>14</v>
      </c>
      <c r="C97" s="106" t="s">
        <v>102</v>
      </c>
      <c r="D97" s="106" t="s">
        <v>6</v>
      </c>
      <c r="E97" s="103">
        <f t="shared" si="316"/>
        <v>16994.400000000001</v>
      </c>
      <c r="F97" s="104">
        <f t="shared" si="317"/>
        <v>0</v>
      </c>
      <c r="G97" s="104">
        <f t="shared" si="317"/>
        <v>0</v>
      </c>
      <c r="H97" s="104">
        <f t="shared" si="138"/>
        <v>16994.400000000001</v>
      </c>
      <c r="I97" s="104">
        <f t="shared" si="318"/>
        <v>0</v>
      </c>
      <c r="J97" s="99">
        <f t="shared" si="319"/>
        <v>1263.3</v>
      </c>
      <c r="K97" s="105">
        <v>0</v>
      </c>
      <c r="L97" s="105">
        <v>0</v>
      </c>
      <c r="M97" s="105">
        <f>1263.3</f>
        <v>1263.3</v>
      </c>
      <c r="N97" s="105">
        <v>0</v>
      </c>
      <c r="O97" s="99">
        <f t="shared" si="320"/>
        <v>1305.6999999999998</v>
      </c>
      <c r="P97" s="105">
        <v>0</v>
      </c>
      <c r="Q97" s="105">
        <v>0</v>
      </c>
      <c r="R97" s="105">
        <f>1635.6-329.9</f>
        <v>1305.6999999999998</v>
      </c>
      <c r="S97" s="105">
        <v>0</v>
      </c>
      <c r="T97" s="99">
        <f t="shared" si="321"/>
        <v>1772.7</v>
      </c>
      <c r="U97" s="105">
        <v>0</v>
      </c>
      <c r="V97" s="105">
        <v>0</v>
      </c>
      <c r="W97" s="105">
        <f>1966-193.3</f>
        <v>1772.7</v>
      </c>
      <c r="X97" s="105">
        <v>0</v>
      </c>
      <c r="Y97" s="99">
        <f t="shared" si="322"/>
        <v>1709.6</v>
      </c>
      <c r="Z97" s="105">
        <v>0</v>
      </c>
      <c r="AA97" s="105">
        <v>0</v>
      </c>
      <c r="AB97" s="105">
        <f>2021.5-311.9</f>
        <v>1709.6</v>
      </c>
      <c r="AC97" s="105">
        <v>0</v>
      </c>
      <c r="AD97" s="99">
        <f t="shared" ref="AD97:AD98" si="328">SUM(AE97:AH97)</f>
        <v>1859.8</v>
      </c>
      <c r="AE97" s="105">
        <v>0</v>
      </c>
      <c r="AF97" s="105">
        <v>0</v>
      </c>
      <c r="AG97" s="105">
        <v>1859.8</v>
      </c>
      <c r="AH97" s="105">
        <v>0</v>
      </c>
      <c r="AI97" s="99">
        <f t="shared" ref="AI97:AI98" si="329">SUM(AJ97:AM97)</f>
        <v>1974.5000000000002</v>
      </c>
      <c r="AJ97" s="105">
        <v>0</v>
      </c>
      <c r="AK97" s="105">
        <v>0</v>
      </c>
      <c r="AL97" s="105">
        <f>1801.4+87.2+85.9</f>
        <v>1974.5000000000002</v>
      </c>
      <c r="AM97" s="105">
        <v>0</v>
      </c>
      <c r="AN97" s="99">
        <f t="shared" si="325"/>
        <v>2360.5</v>
      </c>
      <c r="AO97" s="105">
        <v>0</v>
      </c>
      <c r="AP97" s="105">
        <v>0</v>
      </c>
      <c r="AQ97" s="105">
        <f>2225.3+268.5-133.3</f>
        <v>2360.5</v>
      </c>
      <c r="AR97" s="105">
        <v>0</v>
      </c>
      <c r="AS97" s="99">
        <f t="shared" si="326"/>
        <v>2327.6</v>
      </c>
      <c r="AT97" s="105">
        <v>0</v>
      </c>
      <c r="AU97" s="105">
        <v>0</v>
      </c>
      <c r="AV97" s="105">
        <v>2327.6</v>
      </c>
      <c r="AW97" s="105">
        <v>0</v>
      </c>
      <c r="AX97" s="99">
        <f t="shared" si="327"/>
        <v>2420.6999999999998</v>
      </c>
      <c r="AY97" s="105">
        <v>0</v>
      </c>
      <c r="AZ97" s="105">
        <v>0</v>
      </c>
      <c r="BA97" s="105">
        <v>2420.6999999999998</v>
      </c>
      <c r="BB97" s="105">
        <v>0</v>
      </c>
    </row>
    <row r="98" spans="1:54" ht="75" outlineLevel="2" x14ac:dyDescent="0.25">
      <c r="A98" s="100" t="s">
        <v>55</v>
      </c>
      <c r="B98" s="122" t="s">
        <v>84</v>
      </c>
      <c r="C98" s="102" t="s">
        <v>66</v>
      </c>
      <c r="D98" s="102" t="s">
        <v>66</v>
      </c>
      <c r="E98" s="103">
        <f t="shared" si="316"/>
        <v>785.49999999999989</v>
      </c>
      <c r="F98" s="104">
        <f t="shared" si="317"/>
        <v>0</v>
      </c>
      <c r="G98" s="104">
        <f t="shared" si="317"/>
        <v>0</v>
      </c>
      <c r="H98" s="104">
        <f t="shared" si="138"/>
        <v>785.49999999999989</v>
      </c>
      <c r="I98" s="104">
        <f t="shared" si="318"/>
        <v>0</v>
      </c>
      <c r="J98" s="99">
        <f t="shared" si="319"/>
        <v>135</v>
      </c>
      <c r="K98" s="105">
        <v>0</v>
      </c>
      <c r="L98" s="105">
        <v>0</v>
      </c>
      <c r="M98" s="105">
        <f>85+50</f>
        <v>135</v>
      </c>
      <c r="N98" s="105">
        <v>0</v>
      </c>
      <c r="O98" s="99">
        <f t="shared" ref="O98" si="330">SUM(P98:S98)</f>
        <v>135</v>
      </c>
      <c r="P98" s="105">
        <v>0</v>
      </c>
      <c r="Q98" s="105">
        <v>0</v>
      </c>
      <c r="R98" s="105">
        <v>135</v>
      </c>
      <c r="S98" s="105">
        <v>0</v>
      </c>
      <c r="T98" s="99">
        <f t="shared" ref="T98" si="331">SUM(U98:X98)</f>
        <v>109</v>
      </c>
      <c r="U98" s="105">
        <v>0</v>
      </c>
      <c r="V98" s="105">
        <v>0</v>
      </c>
      <c r="W98" s="105">
        <v>109</v>
      </c>
      <c r="X98" s="105">
        <v>0</v>
      </c>
      <c r="Y98" s="99">
        <f t="shared" ref="Y98:Y99" si="332">SUM(Z98:AC98)</f>
        <v>99.4</v>
      </c>
      <c r="Z98" s="105">
        <v>0</v>
      </c>
      <c r="AA98" s="105">
        <v>0</v>
      </c>
      <c r="AB98" s="105">
        <v>99.4</v>
      </c>
      <c r="AC98" s="105">
        <v>0</v>
      </c>
      <c r="AD98" s="99">
        <f t="shared" si="328"/>
        <v>58.999999999999993</v>
      </c>
      <c r="AE98" s="105">
        <v>0</v>
      </c>
      <c r="AF98" s="105">
        <v>0</v>
      </c>
      <c r="AG98" s="105">
        <f>101.6-42.6</f>
        <v>58.999999999999993</v>
      </c>
      <c r="AH98" s="105">
        <v>0</v>
      </c>
      <c r="AI98" s="99">
        <f t="shared" si="329"/>
        <v>60</v>
      </c>
      <c r="AJ98" s="105">
        <v>0</v>
      </c>
      <c r="AK98" s="105">
        <v>0</v>
      </c>
      <c r="AL98" s="105">
        <v>60</v>
      </c>
      <c r="AM98" s="105">
        <v>0</v>
      </c>
      <c r="AN98" s="99">
        <f t="shared" si="325"/>
        <v>60</v>
      </c>
      <c r="AO98" s="105">
        <v>0</v>
      </c>
      <c r="AP98" s="105">
        <v>0</v>
      </c>
      <c r="AQ98" s="105">
        <v>60</v>
      </c>
      <c r="AR98" s="105">
        <v>0</v>
      </c>
      <c r="AS98" s="99">
        <f t="shared" si="326"/>
        <v>62.8</v>
      </c>
      <c r="AT98" s="105">
        <v>0</v>
      </c>
      <c r="AU98" s="105">
        <v>0</v>
      </c>
      <c r="AV98" s="105">
        <v>62.8</v>
      </c>
      <c r="AW98" s="105">
        <v>0</v>
      </c>
      <c r="AX98" s="99">
        <f t="shared" si="327"/>
        <v>65.3</v>
      </c>
      <c r="AY98" s="105">
        <v>0</v>
      </c>
      <c r="AZ98" s="105">
        <v>0</v>
      </c>
      <c r="BA98" s="105">
        <v>65.3</v>
      </c>
      <c r="BB98" s="105">
        <v>0</v>
      </c>
    </row>
    <row r="99" spans="1:54" ht="56.25" outlineLevel="2" x14ac:dyDescent="0.25">
      <c r="A99" s="100" t="s">
        <v>56</v>
      </c>
      <c r="B99" s="122" t="s">
        <v>85</v>
      </c>
      <c r="C99" s="102" t="s">
        <v>66</v>
      </c>
      <c r="D99" s="102" t="s">
        <v>66</v>
      </c>
      <c r="E99" s="103">
        <f t="shared" si="316"/>
        <v>72</v>
      </c>
      <c r="F99" s="104">
        <f t="shared" si="317"/>
        <v>0</v>
      </c>
      <c r="G99" s="104">
        <f t="shared" si="317"/>
        <v>0</v>
      </c>
      <c r="H99" s="104">
        <f t="shared" si="138"/>
        <v>72</v>
      </c>
      <c r="I99" s="104">
        <f t="shared" si="318"/>
        <v>0</v>
      </c>
      <c r="J99" s="99">
        <f t="shared" si="319"/>
        <v>72</v>
      </c>
      <c r="K99" s="105">
        <v>0</v>
      </c>
      <c r="L99" s="105">
        <v>0</v>
      </c>
      <c r="M99" s="105">
        <v>72</v>
      </c>
      <c r="N99" s="105">
        <v>0</v>
      </c>
      <c r="O99" s="99">
        <f t="shared" si="320"/>
        <v>0</v>
      </c>
      <c r="P99" s="105">
        <v>0</v>
      </c>
      <c r="Q99" s="105">
        <v>0</v>
      </c>
      <c r="R99" s="105">
        <v>0</v>
      </c>
      <c r="S99" s="105">
        <v>0</v>
      </c>
      <c r="T99" s="99">
        <f t="shared" si="321"/>
        <v>0</v>
      </c>
      <c r="U99" s="105">
        <v>0</v>
      </c>
      <c r="V99" s="105">
        <v>0</v>
      </c>
      <c r="W99" s="105">
        <v>0</v>
      </c>
      <c r="X99" s="105">
        <v>0</v>
      </c>
      <c r="Y99" s="99">
        <f t="shared" si="332"/>
        <v>0</v>
      </c>
      <c r="Z99" s="105">
        <v>0</v>
      </c>
      <c r="AA99" s="105">
        <v>0</v>
      </c>
      <c r="AB99" s="105">
        <v>0</v>
      </c>
      <c r="AC99" s="105">
        <v>0</v>
      </c>
      <c r="AD99" s="99">
        <f t="shared" ref="AD99" si="333">SUM(AE99:AH99)</f>
        <v>0</v>
      </c>
      <c r="AE99" s="105">
        <v>0</v>
      </c>
      <c r="AF99" s="105">
        <v>0</v>
      </c>
      <c r="AG99" s="105">
        <v>0</v>
      </c>
      <c r="AH99" s="105">
        <v>0</v>
      </c>
      <c r="AI99" s="99">
        <f t="shared" ref="AI99" si="334">SUM(AJ99:AM99)</f>
        <v>0</v>
      </c>
      <c r="AJ99" s="105">
        <v>0</v>
      </c>
      <c r="AK99" s="105">
        <v>0</v>
      </c>
      <c r="AL99" s="105">
        <v>0</v>
      </c>
      <c r="AM99" s="105">
        <v>0</v>
      </c>
      <c r="AN99" s="99">
        <f t="shared" si="325"/>
        <v>0</v>
      </c>
      <c r="AO99" s="105">
        <v>0</v>
      </c>
      <c r="AP99" s="105">
        <v>0</v>
      </c>
      <c r="AQ99" s="105">
        <v>0</v>
      </c>
      <c r="AR99" s="105">
        <v>0</v>
      </c>
      <c r="AS99" s="99">
        <f t="shared" si="326"/>
        <v>0</v>
      </c>
      <c r="AT99" s="105">
        <v>0</v>
      </c>
      <c r="AU99" s="105">
        <v>0</v>
      </c>
      <c r="AV99" s="105">
        <v>0</v>
      </c>
      <c r="AW99" s="105">
        <v>0</v>
      </c>
      <c r="AX99" s="99">
        <f t="shared" si="327"/>
        <v>0</v>
      </c>
      <c r="AY99" s="105">
        <v>0</v>
      </c>
      <c r="AZ99" s="105">
        <v>0</v>
      </c>
      <c r="BA99" s="105">
        <v>0</v>
      </c>
      <c r="BB99" s="105">
        <v>0</v>
      </c>
    </row>
    <row r="100" spans="1:54" ht="56.25" outlineLevel="2" x14ac:dyDescent="0.25">
      <c r="A100" s="100" t="s">
        <v>393</v>
      </c>
      <c r="B100" s="122" t="s">
        <v>394</v>
      </c>
      <c r="C100" s="102" t="s">
        <v>66</v>
      </c>
      <c r="D100" s="102" t="s">
        <v>6</v>
      </c>
      <c r="E100" s="103">
        <f t="shared" ref="E100" si="335">SUM(F100:I100)</f>
        <v>296.3</v>
      </c>
      <c r="F100" s="104">
        <f t="shared" ref="F100" si="336">K100+P100+U100</f>
        <v>0</v>
      </c>
      <c r="G100" s="104">
        <f t="shared" ref="G100" si="337">L100+Q100+V100</f>
        <v>0</v>
      </c>
      <c r="H100" s="104">
        <f t="shared" ref="H100" si="338">M100+R100+W100+AB100+AG100+AL100+AQ100+AV100+BA100</f>
        <v>296.3</v>
      </c>
      <c r="I100" s="104">
        <f t="shared" ref="I100" si="339">N100+S100+X100</f>
        <v>0</v>
      </c>
      <c r="J100" s="99">
        <f t="shared" ref="J100" si="340">SUM(K100:N100)</f>
        <v>0</v>
      </c>
      <c r="K100" s="105">
        <v>0</v>
      </c>
      <c r="L100" s="105">
        <v>0</v>
      </c>
      <c r="M100" s="105">
        <v>0</v>
      </c>
      <c r="N100" s="105">
        <v>0</v>
      </c>
      <c r="O100" s="99">
        <f t="shared" ref="O100" si="341">SUM(P100:S100)</f>
        <v>0</v>
      </c>
      <c r="P100" s="105">
        <v>0</v>
      </c>
      <c r="Q100" s="105">
        <v>0</v>
      </c>
      <c r="R100" s="105">
        <v>0</v>
      </c>
      <c r="S100" s="105">
        <v>0</v>
      </c>
      <c r="T100" s="99">
        <f t="shared" ref="T100" si="342">SUM(U100:X100)</f>
        <v>0</v>
      </c>
      <c r="U100" s="105">
        <v>0</v>
      </c>
      <c r="V100" s="105">
        <v>0</v>
      </c>
      <c r="W100" s="105">
        <v>0</v>
      </c>
      <c r="X100" s="105">
        <v>0</v>
      </c>
      <c r="Y100" s="99">
        <f t="shared" ref="Y100" si="343">SUM(Z100:AC100)</f>
        <v>0</v>
      </c>
      <c r="Z100" s="105">
        <v>0</v>
      </c>
      <c r="AA100" s="105">
        <v>0</v>
      </c>
      <c r="AB100" s="105">
        <v>0</v>
      </c>
      <c r="AC100" s="105">
        <v>0</v>
      </c>
      <c r="AD100" s="99">
        <f t="shared" ref="AD100" si="344">SUM(AE100:AH100)</f>
        <v>296.3</v>
      </c>
      <c r="AE100" s="105">
        <v>0</v>
      </c>
      <c r="AF100" s="105">
        <v>0</v>
      </c>
      <c r="AG100" s="105">
        <v>296.3</v>
      </c>
      <c r="AH100" s="105">
        <v>0</v>
      </c>
      <c r="AI100" s="99">
        <f t="shared" ref="AI100" si="345">SUM(AJ100:AM100)</f>
        <v>0</v>
      </c>
      <c r="AJ100" s="105">
        <v>0</v>
      </c>
      <c r="AK100" s="105">
        <v>0</v>
      </c>
      <c r="AL100" s="105">
        <v>0</v>
      </c>
      <c r="AM100" s="105">
        <v>0</v>
      </c>
      <c r="AN100" s="99">
        <f t="shared" ref="AN100" si="346">SUM(AO100:AR100)</f>
        <v>0</v>
      </c>
      <c r="AO100" s="105">
        <v>0</v>
      </c>
      <c r="AP100" s="105">
        <v>0</v>
      </c>
      <c r="AQ100" s="105">
        <v>0</v>
      </c>
      <c r="AR100" s="105">
        <v>0</v>
      </c>
      <c r="AS100" s="99">
        <f t="shared" ref="AS100" si="347">SUM(AT100:AW100)</f>
        <v>0</v>
      </c>
      <c r="AT100" s="105">
        <v>0</v>
      </c>
      <c r="AU100" s="105">
        <v>0</v>
      </c>
      <c r="AV100" s="105">
        <v>0</v>
      </c>
      <c r="AW100" s="105">
        <v>0</v>
      </c>
      <c r="AX100" s="99">
        <f t="shared" ref="AX100" si="348">SUM(AY100:BB100)</f>
        <v>0</v>
      </c>
      <c r="AY100" s="105">
        <v>0</v>
      </c>
      <c r="AZ100" s="105">
        <v>0</v>
      </c>
      <c r="BA100" s="105">
        <v>0</v>
      </c>
      <c r="BB100" s="105">
        <v>0</v>
      </c>
    </row>
    <row r="101" spans="1:54" s="98" customFormat="1" outlineLevel="1" x14ac:dyDescent="0.25">
      <c r="A101" s="97">
        <v>5</v>
      </c>
      <c r="B101" s="186" t="s">
        <v>19</v>
      </c>
      <c r="C101" s="186"/>
      <c r="D101" s="186"/>
      <c r="E101" s="99">
        <f t="shared" ref="E101:W101" si="349">SUM(E102:E106)</f>
        <v>16138.9</v>
      </c>
      <c r="F101" s="99">
        <f t="shared" si="349"/>
        <v>0</v>
      </c>
      <c r="G101" s="99">
        <f t="shared" si="349"/>
        <v>0</v>
      </c>
      <c r="H101" s="99">
        <f t="shared" si="349"/>
        <v>16138.9</v>
      </c>
      <c r="I101" s="99">
        <f t="shared" si="349"/>
        <v>0</v>
      </c>
      <c r="J101" s="99">
        <f t="shared" si="349"/>
        <v>2183.7000000000003</v>
      </c>
      <c r="K101" s="99">
        <f t="shared" si="349"/>
        <v>0</v>
      </c>
      <c r="L101" s="99">
        <f t="shared" si="349"/>
        <v>0</v>
      </c>
      <c r="M101" s="99">
        <f t="shared" si="349"/>
        <v>2183.7000000000003</v>
      </c>
      <c r="N101" s="99">
        <f t="shared" si="349"/>
        <v>0</v>
      </c>
      <c r="O101" s="99">
        <f t="shared" si="349"/>
        <v>1341.2</v>
      </c>
      <c r="P101" s="99">
        <f t="shared" si="349"/>
        <v>0</v>
      </c>
      <c r="Q101" s="99">
        <f t="shared" si="349"/>
        <v>0</v>
      </c>
      <c r="R101" s="99">
        <f t="shared" si="349"/>
        <v>1341.2</v>
      </c>
      <c r="S101" s="99">
        <f t="shared" si="349"/>
        <v>0</v>
      </c>
      <c r="T101" s="99">
        <f t="shared" si="349"/>
        <v>4597.6000000000004</v>
      </c>
      <c r="U101" s="99">
        <f t="shared" si="349"/>
        <v>0</v>
      </c>
      <c r="V101" s="99">
        <f t="shared" si="349"/>
        <v>0</v>
      </c>
      <c r="W101" s="99">
        <f t="shared" si="349"/>
        <v>4597.6000000000004</v>
      </c>
      <c r="X101" s="99">
        <f>SUM(X102:X105)</f>
        <v>0</v>
      </c>
      <c r="Y101" s="99">
        <f>SUM(Y102:Y106)</f>
        <v>990</v>
      </c>
      <c r="Z101" s="99">
        <f>SUM(Z102:Z106)</f>
        <v>0</v>
      </c>
      <c r="AA101" s="99">
        <f>SUM(AA102:AA106)</f>
        <v>0</v>
      </c>
      <c r="AB101" s="99">
        <f>SUM(AB102:AB106)</f>
        <v>990</v>
      </c>
      <c r="AC101" s="99">
        <f>SUM(AC102:AC105)</f>
        <v>0</v>
      </c>
      <c r="AD101" s="99">
        <f>SUM(AD102:AD106)</f>
        <v>1889.3</v>
      </c>
      <c r="AE101" s="99">
        <f>SUM(AE102:AE106)</f>
        <v>0</v>
      </c>
      <c r="AF101" s="99">
        <f>SUM(AF102:AF106)</f>
        <v>0</v>
      </c>
      <c r="AG101" s="99">
        <f>SUM(AG102:AG106)</f>
        <v>1889.3</v>
      </c>
      <c r="AH101" s="99">
        <f>SUM(AH102:AH105)</f>
        <v>0</v>
      </c>
      <c r="AI101" s="99">
        <f>SUM(AI102:AI106)</f>
        <v>985.19999999999993</v>
      </c>
      <c r="AJ101" s="99">
        <f>SUM(AJ102:AJ106)</f>
        <v>0</v>
      </c>
      <c r="AK101" s="99">
        <f>SUM(AK102:AK106)</f>
        <v>0</v>
      </c>
      <c r="AL101" s="99">
        <f>SUM(AL102:AL106)</f>
        <v>985.19999999999993</v>
      </c>
      <c r="AM101" s="99">
        <f>SUM(AM102:AM105)</f>
        <v>0</v>
      </c>
      <c r="AN101" s="99">
        <f>SUM(AN102:AN106)</f>
        <v>1692.1000000000001</v>
      </c>
      <c r="AO101" s="99">
        <f>SUM(AO102:AO106)</f>
        <v>0</v>
      </c>
      <c r="AP101" s="99">
        <f>SUM(AP102:AP106)</f>
        <v>0</v>
      </c>
      <c r="AQ101" s="99">
        <f>SUM(AQ102:AQ106)</f>
        <v>1692.1000000000001</v>
      </c>
      <c r="AR101" s="99">
        <f>SUM(AR102:AR105)</f>
        <v>0</v>
      </c>
      <c r="AS101" s="99">
        <f>SUM(AS102:AS106)</f>
        <v>1212.4000000000001</v>
      </c>
      <c r="AT101" s="99">
        <f>SUM(AT102:AT106)</f>
        <v>0</v>
      </c>
      <c r="AU101" s="99">
        <f>SUM(AU102:AU106)</f>
        <v>0</v>
      </c>
      <c r="AV101" s="99">
        <f>SUM(AV102:AV106)</f>
        <v>1212.4000000000001</v>
      </c>
      <c r="AW101" s="99">
        <f>SUM(AW102:AW105)</f>
        <v>0</v>
      </c>
      <c r="AX101" s="99">
        <f>SUM(AX102:AX106)</f>
        <v>1247.4000000000001</v>
      </c>
      <c r="AY101" s="99">
        <f>SUM(AY102:AY106)</f>
        <v>0</v>
      </c>
      <c r="AZ101" s="99">
        <f>SUM(AZ102:AZ106)</f>
        <v>0</v>
      </c>
      <c r="BA101" s="99">
        <f>SUM(BA102:BA106)</f>
        <v>1247.4000000000001</v>
      </c>
      <c r="BB101" s="99">
        <f>SUM(BB102:BB105)</f>
        <v>0</v>
      </c>
    </row>
    <row r="102" spans="1:54" ht="75" outlineLevel="3" x14ac:dyDescent="0.25">
      <c r="A102" s="100" t="s">
        <v>24</v>
      </c>
      <c r="B102" s="122" t="s">
        <v>79</v>
      </c>
      <c r="C102" s="102" t="s">
        <v>66</v>
      </c>
      <c r="D102" s="102" t="s">
        <v>66</v>
      </c>
      <c r="E102" s="103">
        <f t="shared" ref="E102:E105" si="350">SUM(F102:I102)</f>
        <v>5393.7</v>
      </c>
      <c r="F102" s="104">
        <f t="shared" ref="F102:G105" si="351">K102+P102+U102</f>
        <v>0</v>
      </c>
      <c r="G102" s="104">
        <f t="shared" si="351"/>
        <v>0</v>
      </c>
      <c r="H102" s="104">
        <f t="shared" si="138"/>
        <v>5393.7</v>
      </c>
      <c r="I102" s="104">
        <f t="shared" ref="I102:I105" si="352">N102+S102+X102</f>
        <v>0</v>
      </c>
      <c r="J102" s="99">
        <f t="shared" ref="J102:J105" si="353">SUM(K102:N102)</f>
        <v>733.7</v>
      </c>
      <c r="K102" s="105">
        <v>0</v>
      </c>
      <c r="L102" s="105">
        <v>0</v>
      </c>
      <c r="M102" s="105">
        <v>733.7</v>
      </c>
      <c r="N102" s="105">
        <v>0</v>
      </c>
      <c r="O102" s="99">
        <f t="shared" ref="O102:O104" si="354">SUM(P102:S102)</f>
        <v>631.69999999999993</v>
      </c>
      <c r="P102" s="105">
        <v>0</v>
      </c>
      <c r="Q102" s="105">
        <v>0</v>
      </c>
      <c r="R102" s="105">
        <f>715.4-83.7</f>
        <v>631.69999999999993</v>
      </c>
      <c r="S102" s="105">
        <v>0</v>
      </c>
      <c r="T102" s="99">
        <f t="shared" ref="T102:T104" si="355">SUM(U102:X102)</f>
        <v>575.9</v>
      </c>
      <c r="U102" s="105">
        <v>0</v>
      </c>
      <c r="V102" s="105">
        <v>0</v>
      </c>
      <c r="W102" s="105">
        <v>575.9</v>
      </c>
      <c r="X102" s="105">
        <v>0</v>
      </c>
      <c r="Y102" s="99">
        <f t="shared" ref="Y102:Y104" si="356">SUM(Z102:AC102)</f>
        <v>443.4</v>
      </c>
      <c r="Z102" s="105">
        <v>0</v>
      </c>
      <c r="AA102" s="105">
        <v>0</v>
      </c>
      <c r="AB102" s="105">
        <v>443.4</v>
      </c>
      <c r="AC102" s="105">
        <v>0</v>
      </c>
      <c r="AD102" s="99">
        <f t="shared" ref="AD102:AD105" si="357">SUM(AE102:AH102)</f>
        <v>474.7</v>
      </c>
      <c r="AE102" s="105">
        <v>0</v>
      </c>
      <c r="AF102" s="105">
        <v>0</v>
      </c>
      <c r="AG102" s="105">
        <f>480.9-6.2</f>
        <v>474.7</v>
      </c>
      <c r="AH102" s="105">
        <v>0</v>
      </c>
      <c r="AI102" s="99">
        <f t="shared" ref="AI102:AI105" si="358">SUM(AJ102:AM102)</f>
        <v>443.09999999999997</v>
      </c>
      <c r="AJ102" s="105">
        <v>0</v>
      </c>
      <c r="AK102" s="105">
        <v>0</v>
      </c>
      <c r="AL102" s="105">
        <f>491.2-48.1</f>
        <v>443.09999999999997</v>
      </c>
      <c r="AM102" s="105">
        <v>0</v>
      </c>
      <c r="AN102" s="99">
        <f t="shared" ref="AN102:AN105" si="359">SUM(AO102:AR102)</f>
        <v>1007.2</v>
      </c>
      <c r="AO102" s="105">
        <v>0</v>
      </c>
      <c r="AP102" s="105">
        <v>0</v>
      </c>
      <c r="AQ102" s="105">
        <v>1007.2</v>
      </c>
      <c r="AR102" s="105">
        <v>0</v>
      </c>
      <c r="AS102" s="99">
        <f t="shared" ref="AS102:AS105" si="360">SUM(AT102:AW102)</f>
        <v>535.70000000000005</v>
      </c>
      <c r="AT102" s="105">
        <v>0</v>
      </c>
      <c r="AU102" s="105">
        <v>0</v>
      </c>
      <c r="AV102" s="105">
        <v>535.70000000000005</v>
      </c>
      <c r="AW102" s="105">
        <v>0</v>
      </c>
      <c r="AX102" s="99">
        <f t="shared" ref="AX102:AX105" si="361">SUM(AY102:BB102)</f>
        <v>548.29999999999995</v>
      </c>
      <c r="AY102" s="105">
        <v>0</v>
      </c>
      <c r="AZ102" s="105">
        <v>0</v>
      </c>
      <c r="BA102" s="105">
        <v>548.29999999999995</v>
      </c>
      <c r="BB102" s="105">
        <v>0</v>
      </c>
    </row>
    <row r="103" spans="1:54" ht="75" outlineLevel="3" x14ac:dyDescent="0.25">
      <c r="A103" s="100" t="s">
        <v>25</v>
      </c>
      <c r="B103" s="122" t="s">
        <v>80</v>
      </c>
      <c r="C103" s="102" t="s">
        <v>66</v>
      </c>
      <c r="D103" s="102" t="s">
        <v>66</v>
      </c>
      <c r="E103" s="103">
        <f>SUM(F103:I103)</f>
        <v>4612.3000000000011</v>
      </c>
      <c r="F103" s="104">
        <f t="shared" si="351"/>
        <v>0</v>
      </c>
      <c r="G103" s="104">
        <f t="shared" si="351"/>
        <v>0</v>
      </c>
      <c r="H103" s="104">
        <f t="shared" si="138"/>
        <v>4612.3000000000011</v>
      </c>
      <c r="I103" s="104">
        <f t="shared" si="352"/>
        <v>0</v>
      </c>
      <c r="J103" s="99">
        <f t="shared" si="353"/>
        <v>436.5</v>
      </c>
      <c r="K103" s="105">
        <v>0</v>
      </c>
      <c r="L103" s="105">
        <v>0</v>
      </c>
      <c r="M103" s="105">
        <v>436.5</v>
      </c>
      <c r="N103" s="105">
        <v>0</v>
      </c>
      <c r="O103" s="99">
        <f t="shared" si="354"/>
        <v>586.80000000000007</v>
      </c>
      <c r="P103" s="105">
        <v>0</v>
      </c>
      <c r="Q103" s="105">
        <v>0</v>
      </c>
      <c r="R103" s="105">
        <f>503.1+83.7</f>
        <v>586.80000000000007</v>
      </c>
      <c r="S103" s="105">
        <v>0</v>
      </c>
      <c r="T103" s="99">
        <f t="shared" si="355"/>
        <v>604.1</v>
      </c>
      <c r="U103" s="105">
        <v>0</v>
      </c>
      <c r="V103" s="105">
        <v>0</v>
      </c>
      <c r="W103" s="105">
        <f>437.1+167</f>
        <v>604.1</v>
      </c>
      <c r="X103" s="105">
        <v>0</v>
      </c>
      <c r="Y103" s="99">
        <f t="shared" si="356"/>
        <v>443.5</v>
      </c>
      <c r="Z103" s="105">
        <v>0</v>
      </c>
      <c r="AA103" s="105">
        <v>0</v>
      </c>
      <c r="AB103" s="105">
        <v>443.5</v>
      </c>
      <c r="AC103" s="105">
        <v>0</v>
      </c>
      <c r="AD103" s="99">
        <f t="shared" si="357"/>
        <v>428.8</v>
      </c>
      <c r="AE103" s="105">
        <v>0</v>
      </c>
      <c r="AF103" s="105">
        <v>0</v>
      </c>
      <c r="AG103" s="105">
        <f>458.8-30</f>
        <v>428.8</v>
      </c>
      <c r="AH103" s="105">
        <v>0</v>
      </c>
      <c r="AI103" s="99">
        <f t="shared" si="358"/>
        <v>429.8</v>
      </c>
      <c r="AJ103" s="105">
        <v>0</v>
      </c>
      <c r="AK103" s="105">
        <v>0</v>
      </c>
      <c r="AL103" s="105">
        <f>227.5+154.2+48.1</f>
        <v>429.8</v>
      </c>
      <c r="AM103" s="105">
        <v>0</v>
      </c>
      <c r="AN103" s="99">
        <f t="shared" si="359"/>
        <v>537</v>
      </c>
      <c r="AO103" s="105">
        <v>0</v>
      </c>
      <c r="AP103" s="105">
        <v>0</v>
      </c>
      <c r="AQ103" s="105">
        <f>537</f>
        <v>537</v>
      </c>
      <c r="AR103" s="105">
        <v>0</v>
      </c>
      <c r="AS103" s="99">
        <f t="shared" si="360"/>
        <v>561.70000000000005</v>
      </c>
      <c r="AT103" s="105">
        <v>0</v>
      </c>
      <c r="AU103" s="105">
        <v>0</v>
      </c>
      <c r="AV103" s="105">
        <v>561.70000000000005</v>
      </c>
      <c r="AW103" s="105">
        <v>0</v>
      </c>
      <c r="AX103" s="99">
        <f t="shared" si="361"/>
        <v>584.1</v>
      </c>
      <c r="AY103" s="105">
        <v>0</v>
      </c>
      <c r="AZ103" s="105">
        <v>0</v>
      </c>
      <c r="BA103" s="105">
        <v>584.1</v>
      </c>
      <c r="BB103" s="105">
        <v>0</v>
      </c>
    </row>
    <row r="104" spans="1:54" ht="56.25" outlineLevel="3" x14ac:dyDescent="0.25">
      <c r="A104" s="100" t="s">
        <v>26</v>
      </c>
      <c r="B104" s="122" t="s">
        <v>81</v>
      </c>
      <c r="C104" s="102" t="s">
        <v>66</v>
      </c>
      <c r="D104" s="102" t="s">
        <v>66</v>
      </c>
      <c r="E104" s="103">
        <f>SUM(F104:I104)</f>
        <v>96</v>
      </c>
      <c r="F104" s="104">
        <f t="shared" si="351"/>
        <v>0</v>
      </c>
      <c r="G104" s="104">
        <f t="shared" si="351"/>
        <v>0</v>
      </c>
      <c r="H104" s="104">
        <f t="shared" si="138"/>
        <v>96</v>
      </c>
      <c r="I104" s="104">
        <f t="shared" si="352"/>
        <v>0</v>
      </c>
      <c r="J104" s="99">
        <f t="shared" si="353"/>
        <v>96</v>
      </c>
      <c r="K104" s="105">
        <v>0</v>
      </c>
      <c r="L104" s="105">
        <v>0</v>
      </c>
      <c r="M104" s="105">
        <v>96</v>
      </c>
      <c r="N104" s="105">
        <v>0</v>
      </c>
      <c r="O104" s="99">
        <f t="shared" si="354"/>
        <v>0</v>
      </c>
      <c r="P104" s="105">
        <v>0</v>
      </c>
      <c r="Q104" s="105">
        <v>0</v>
      </c>
      <c r="R104" s="105">
        <v>0</v>
      </c>
      <c r="S104" s="105">
        <v>0</v>
      </c>
      <c r="T104" s="99">
        <f t="shared" si="355"/>
        <v>0</v>
      </c>
      <c r="U104" s="105">
        <v>0</v>
      </c>
      <c r="V104" s="105">
        <v>0</v>
      </c>
      <c r="W104" s="105">
        <v>0</v>
      </c>
      <c r="X104" s="105">
        <v>0</v>
      </c>
      <c r="Y104" s="99">
        <f t="shared" si="356"/>
        <v>0</v>
      </c>
      <c r="Z104" s="105">
        <v>0</v>
      </c>
      <c r="AA104" s="105">
        <v>0</v>
      </c>
      <c r="AB104" s="105">
        <v>0</v>
      </c>
      <c r="AC104" s="105">
        <v>0</v>
      </c>
      <c r="AD104" s="99">
        <f t="shared" si="357"/>
        <v>0</v>
      </c>
      <c r="AE104" s="105">
        <v>0</v>
      </c>
      <c r="AF104" s="105">
        <v>0</v>
      </c>
      <c r="AG104" s="105">
        <v>0</v>
      </c>
      <c r="AH104" s="105">
        <v>0</v>
      </c>
      <c r="AI104" s="99">
        <f t="shared" si="358"/>
        <v>0</v>
      </c>
      <c r="AJ104" s="105">
        <v>0</v>
      </c>
      <c r="AK104" s="105">
        <v>0</v>
      </c>
      <c r="AL104" s="105">
        <v>0</v>
      </c>
      <c r="AM104" s="105">
        <v>0</v>
      </c>
      <c r="AN104" s="99">
        <f t="shared" si="359"/>
        <v>0</v>
      </c>
      <c r="AO104" s="105">
        <v>0</v>
      </c>
      <c r="AP104" s="105">
        <v>0</v>
      </c>
      <c r="AQ104" s="105">
        <v>0</v>
      </c>
      <c r="AR104" s="105">
        <v>0</v>
      </c>
      <c r="AS104" s="99">
        <f t="shared" si="360"/>
        <v>0</v>
      </c>
      <c r="AT104" s="105">
        <v>0</v>
      </c>
      <c r="AU104" s="105">
        <v>0</v>
      </c>
      <c r="AV104" s="105">
        <v>0</v>
      </c>
      <c r="AW104" s="105">
        <v>0</v>
      </c>
      <c r="AX104" s="99">
        <f t="shared" si="361"/>
        <v>0</v>
      </c>
      <c r="AY104" s="105">
        <v>0</v>
      </c>
      <c r="AZ104" s="105">
        <v>0</v>
      </c>
      <c r="BA104" s="105">
        <v>0</v>
      </c>
      <c r="BB104" s="105">
        <v>0</v>
      </c>
    </row>
    <row r="105" spans="1:54" ht="56.25" outlineLevel="3" x14ac:dyDescent="0.25">
      <c r="A105" s="100" t="s">
        <v>27</v>
      </c>
      <c r="B105" s="122" t="s">
        <v>484</v>
      </c>
      <c r="C105" s="102" t="s">
        <v>66</v>
      </c>
      <c r="D105" s="102" t="s">
        <v>66</v>
      </c>
      <c r="E105" s="103">
        <f t="shared" si="350"/>
        <v>1044.5</v>
      </c>
      <c r="F105" s="104">
        <f t="shared" si="351"/>
        <v>0</v>
      </c>
      <c r="G105" s="104">
        <f t="shared" si="351"/>
        <v>0</v>
      </c>
      <c r="H105" s="104">
        <f t="shared" si="138"/>
        <v>1044.5</v>
      </c>
      <c r="I105" s="104">
        <f t="shared" si="352"/>
        <v>0</v>
      </c>
      <c r="J105" s="99">
        <f t="shared" si="353"/>
        <v>125.39999999999999</v>
      </c>
      <c r="K105" s="105">
        <v>0</v>
      </c>
      <c r="L105" s="105">
        <v>0</v>
      </c>
      <c r="M105" s="105">
        <f>18.3+92+15.1</f>
        <v>125.39999999999999</v>
      </c>
      <c r="N105" s="105">
        <v>0</v>
      </c>
      <c r="O105" s="99">
        <f t="shared" ref="O105" si="362">SUM(P105:S105)</f>
        <v>122.7</v>
      </c>
      <c r="P105" s="105">
        <v>0</v>
      </c>
      <c r="Q105" s="105">
        <v>0</v>
      </c>
      <c r="R105" s="105">
        <v>122.7</v>
      </c>
      <c r="S105" s="105">
        <v>0</v>
      </c>
      <c r="T105" s="99">
        <f t="shared" ref="T105" si="363">SUM(U105:X105)</f>
        <v>134.6</v>
      </c>
      <c r="U105" s="105">
        <v>0</v>
      </c>
      <c r="V105" s="105">
        <v>0</v>
      </c>
      <c r="W105" s="105">
        <f>123.1+11.5</f>
        <v>134.6</v>
      </c>
      <c r="X105" s="105">
        <v>0</v>
      </c>
      <c r="Y105" s="99">
        <f t="shared" ref="Y105" si="364">SUM(Z105:AC105)</f>
        <v>103.1</v>
      </c>
      <c r="Z105" s="105">
        <v>0</v>
      </c>
      <c r="AA105" s="105">
        <v>0</v>
      </c>
      <c r="AB105" s="105">
        <v>103.1</v>
      </c>
      <c r="AC105" s="105">
        <v>0</v>
      </c>
      <c r="AD105" s="99">
        <f t="shared" si="357"/>
        <v>68.5</v>
      </c>
      <c r="AE105" s="105">
        <v>0</v>
      </c>
      <c r="AF105" s="105">
        <v>0</v>
      </c>
      <c r="AG105" s="105">
        <f>124.6-56.1</f>
        <v>68.5</v>
      </c>
      <c r="AH105" s="105">
        <v>0</v>
      </c>
      <c r="AI105" s="99">
        <f t="shared" si="358"/>
        <v>112.3</v>
      </c>
      <c r="AJ105" s="105">
        <v>0</v>
      </c>
      <c r="AK105" s="105">
        <v>0</v>
      </c>
      <c r="AL105" s="105">
        <v>112.3</v>
      </c>
      <c r="AM105" s="105">
        <v>0</v>
      </c>
      <c r="AN105" s="99">
        <f t="shared" si="359"/>
        <v>147.9</v>
      </c>
      <c r="AO105" s="105">
        <v>0</v>
      </c>
      <c r="AP105" s="105">
        <v>0</v>
      </c>
      <c r="AQ105" s="105">
        <f>131.1+115-31.6-66.6</f>
        <v>147.9</v>
      </c>
      <c r="AR105" s="105">
        <v>0</v>
      </c>
      <c r="AS105" s="99">
        <f t="shared" si="360"/>
        <v>115</v>
      </c>
      <c r="AT105" s="105">
        <v>0</v>
      </c>
      <c r="AU105" s="105">
        <v>0</v>
      </c>
      <c r="AV105" s="105">
        <v>115</v>
      </c>
      <c r="AW105" s="105">
        <v>0</v>
      </c>
      <c r="AX105" s="99">
        <f t="shared" si="361"/>
        <v>115</v>
      </c>
      <c r="AY105" s="105">
        <v>0</v>
      </c>
      <c r="AZ105" s="105">
        <v>0</v>
      </c>
      <c r="BA105" s="105">
        <v>115</v>
      </c>
      <c r="BB105" s="105">
        <v>0</v>
      </c>
    </row>
    <row r="106" spans="1:54" ht="112.5" outlineLevel="3" x14ac:dyDescent="0.25">
      <c r="A106" s="100" t="s">
        <v>28</v>
      </c>
      <c r="B106" s="122" t="s">
        <v>88</v>
      </c>
      <c r="C106" s="196" t="s">
        <v>66</v>
      </c>
      <c r="D106" s="196" t="s">
        <v>164</v>
      </c>
      <c r="E106" s="99">
        <f>E107+E108+E109+E110</f>
        <v>4992.3999999999996</v>
      </c>
      <c r="F106" s="99">
        <f t="shared" ref="F106:I106" si="365">F107+F108</f>
        <v>0</v>
      </c>
      <c r="G106" s="99">
        <f t="shared" si="365"/>
        <v>0</v>
      </c>
      <c r="H106" s="104">
        <f>M106+R106+W106+AB106+AG106+AL106+AQ106+AV106+BA106</f>
        <v>4992.3999999999996</v>
      </c>
      <c r="I106" s="99">
        <f t="shared" si="365"/>
        <v>0</v>
      </c>
      <c r="J106" s="99">
        <f>J107+J108+J109</f>
        <v>792.1</v>
      </c>
      <c r="K106" s="99">
        <f t="shared" ref="K106:BA106" si="366">K107+K108+K109</f>
        <v>0</v>
      </c>
      <c r="L106" s="99">
        <f t="shared" si="366"/>
        <v>0</v>
      </c>
      <c r="M106" s="99">
        <f t="shared" si="366"/>
        <v>792.1</v>
      </c>
      <c r="N106" s="99">
        <f t="shared" si="366"/>
        <v>0</v>
      </c>
      <c r="O106" s="99">
        <f t="shared" si="366"/>
        <v>0</v>
      </c>
      <c r="P106" s="99">
        <f t="shared" si="366"/>
        <v>0</v>
      </c>
      <c r="Q106" s="99">
        <f t="shared" si="366"/>
        <v>0</v>
      </c>
      <c r="R106" s="99">
        <f t="shared" si="366"/>
        <v>0</v>
      </c>
      <c r="S106" s="99">
        <f t="shared" si="366"/>
        <v>0</v>
      </c>
      <c r="T106" s="99">
        <f t="shared" si="366"/>
        <v>3283</v>
      </c>
      <c r="U106" s="99">
        <f t="shared" si="366"/>
        <v>0</v>
      </c>
      <c r="V106" s="99">
        <f t="shared" si="366"/>
        <v>0</v>
      </c>
      <c r="W106" s="99">
        <f t="shared" si="366"/>
        <v>3283</v>
      </c>
      <c r="X106" s="99">
        <f t="shared" si="366"/>
        <v>0</v>
      </c>
      <c r="Y106" s="99">
        <f t="shared" si="366"/>
        <v>0</v>
      </c>
      <c r="Z106" s="99">
        <f t="shared" si="366"/>
        <v>0</v>
      </c>
      <c r="AA106" s="99">
        <f t="shared" si="366"/>
        <v>0</v>
      </c>
      <c r="AB106" s="99">
        <f t="shared" si="366"/>
        <v>0</v>
      </c>
      <c r="AC106" s="99">
        <f t="shared" si="366"/>
        <v>0</v>
      </c>
      <c r="AD106" s="99">
        <f>AD107+AD108+AD109+AD110</f>
        <v>917.3</v>
      </c>
      <c r="AE106" s="99">
        <f t="shared" ref="AE106:AG106" si="367">AE107+AE108+AE109+AE110</f>
        <v>0</v>
      </c>
      <c r="AF106" s="99">
        <f t="shared" si="367"/>
        <v>0</v>
      </c>
      <c r="AG106" s="99">
        <f t="shared" si="367"/>
        <v>917.3</v>
      </c>
      <c r="AH106" s="99">
        <f t="shared" si="366"/>
        <v>0</v>
      </c>
      <c r="AI106" s="99">
        <f t="shared" si="366"/>
        <v>0</v>
      </c>
      <c r="AJ106" s="99">
        <f t="shared" si="366"/>
        <v>0</v>
      </c>
      <c r="AK106" s="99">
        <f t="shared" si="366"/>
        <v>0</v>
      </c>
      <c r="AL106" s="99">
        <f t="shared" si="366"/>
        <v>0</v>
      </c>
      <c r="AM106" s="99">
        <f t="shared" si="366"/>
        <v>0</v>
      </c>
      <c r="AN106" s="99">
        <f t="shared" si="366"/>
        <v>0</v>
      </c>
      <c r="AO106" s="99">
        <f t="shared" si="366"/>
        <v>0</v>
      </c>
      <c r="AP106" s="99">
        <f t="shared" si="366"/>
        <v>0</v>
      </c>
      <c r="AQ106" s="99">
        <f t="shared" si="366"/>
        <v>0</v>
      </c>
      <c r="AR106" s="99">
        <f t="shared" si="366"/>
        <v>0</v>
      </c>
      <c r="AS106" s="99">
        <f t="shared" si="366"/>
        <v>0</v>
      </c>
      <c r="AT106" s="99">
        <f t="shared" si="366"/>
        <v>0</v>
      </c>
      <c r="AU106" s="99">
        <f t="shared" si="366"/>
        <v>0</v>
      </c>
      <c r="AV106" s="99">
        <f t="shared" si="366"/>
        <v>0</v>
      </c>
      <c r="AW106" s="99">
        <f t="shared" si="366"/>
        <v>0</v>
      </c>
      <c r="AX106" s="99">
        <f t="shared" si="366"/>
        <v>0</v>
      </c>
      <c r="AY106" s="99">
        <f t="shared" si="366"/>
        <v>0</v>
      </c>
      <c r="AZ106" s="99">
        <f t="shared" si="366"/>
        <v>0</v>
      </c>
      <c r="BA106" s="99">
        <f t="shared" si="366"/>
        <v>0</v>
      </c>
      <c r="BB106" s="105">
        <f t="shared" ref="BB106" si="368">BB107+BB108</f>
        <v>0</v>
      </c>
    </row>
    <row r="107" spans="1:54" outlineLevel="3" x14ac:dyDescent="0.25">
      <c r="A107" s="124" t="s">
        <v>337</v>
      </c>
      <c r="B107" s="125" t="s">
        <v>89</v>
      </c>
      <c r="C107" s="197"/>
      <c r="D107" s="197"/>
      <c r="E107" s="99">
        <f>H107</f>
        <v>322.10000000000002</v>
      </c>
      <c r="F107" s="105">
        <v>0</v>
      </c>
      <c r="G107" s="105">
        <v>0</v>
      </c>
      <c r="H107" s="104">
        <f t="shared" si="138"/>
        <v>322.10000000000002</v>
      </c>
      <c r="I107" s="105">
        <v>0</v>
      </c>
      <c r="J107" s="99">
        <f>M107</f>
        <v>322.10000000000002</v>
      </c>
      <c r="K107" s="105">
        <v>0</v>
      </c>
      <c r="L107" s="105">
        <v>0</v>
      </c>
      <c r="M107" s="105">
        <v>322.10000000000002</v>
      </c>
      <c r="N107" s="105">
        <v>0</v>
      </c>
      <c r="O107" s="99">
        <f>R107</f>
        <v>0</v>
      </c>
      <c r="P107" s="105">
        <v>0</v>
      </c>
      <c r="Q107" s="105">
        <v>0</v>
      </c>
      <c r="R107" s="105">
        <v>0</v>
      </c>
      <c r="S107" s="105">
        <v>0</v>
      </c>
      <c r="T107" s="99">
        <f>W107</f>
        <v>0</v>
      </c>
      <c r="U107" s="105">
        <v>0</v>
      </c>
      <c r="V107" s="105">
        <v>0</v>
      </c>
      <c r="W107" s="105">
        <v>0</v>
      </c>
      <c r="X107" s="105">
        <v>0</v>
      </c>
      <c r="Y107" s="99">
        <f>AB107</f>
        <v>0</v>
      </c>
      <c r="Z107" s="105">
        <v>0</v>
      </c>
      <c r="AA107" s="105">
        <v>0</v>
      </c>
      <c r="AB107" s="105">
        <v>0</v>
      </c>
      <c r="AC107" s="105">
        <v>0</v>
      </c>
      <c r="AD107" s="99">
        <f>AG107</f>
        <v>0</v>
      </c>
      <c r="AE107" s="105">
        <v>0</v>
      </c>
      <c r="AF107" s="105">
        <v>0</v>
      </c>
      <c r="AG107" s="105">
        <v>0</v>
      </c>
      <c r="AH107" s="105">
        <v>0</v>
      </c>
      <c r="AI107" s="99">
        <f>AL107</f>
        <v>0</v>
      </c>
      <c r="AJ107" s="105">
        <v>0</v>
      </c>
      <c r="AK107" s="105">
        <v>0</v>
      </c>
      <c r="AL107" s="105">
        <v>0</v>
      </c>
      <c r="AM107" s="105">
        <v>0</v>
      </c>
      <c r="AN107" s="99">
        <f>AQ107</f>
        <v>0</v>
      </c>
      <c r="AO107" s="105">
        <v>0</v>
      </c>
      <c r="AP107" s="105">
        <v>0</v>
      </c>
      <c r="AQ107" s="105">
        <v>0</v>
      </c>
      <c r="AR107" s="105">
        <v>0</v>
      </c>
      <c r="AS107" s="99">
        <f>AV107</f>
        <v>0</v>
      </c>
      <c r="AT107" s="105">
        <v>0</v>
      </c>
      <c r="AU107" s="105">
        <v>0</v>
      </c>
      <c r="AV107" s="105">
        <v>0</v>
      </c>
      <c r="AW107" s="105">
        <v>0</v>
      </c>
      <c r="AX107" s="99">
        <f>BA107</f>
        <v>0</v>
      </c>
      <c r="AY107" s="105">
        <v>0</v>
      </c>
      <c r="AZ107" s="105">
        <v>0</v>
      </c>
      <c r="BA107" s="105">
        <v>0</v>
      </c>
      <c r="BB107" s="105">
        <v>0</v>
      </c>
    </row>
    <row r="108" spans="1:54" ht="93.75" outlineLevel="3" x14ac:dyDescent="0.25">
      <c r="A108" s="100" t="s">
        <v>338</v>
      </c>
      <c r="B108" s="125" t="s">
        <v>90</v>
      </c>
      <c r="C108" s="198"/>
      <c r="D108" s="198"/>
      <c r="E108" s="99">
        <f>H108</f>
        <v>3753</v>
      </c>
      <c r="F108" s="105">
        <v>0</v>
      </c>
      <c r="G108" s="105">
        <v>0</v>
      </c>
      <c r="H108" s="104">
        <f t="shared" si="138"/>
        <v>3753</v>
      </c>
      <c r="I108" s="105">
        <v>0</v>
      </c>
      <c r="J108" s="99">
        <f>M108</f>
        <v>470</v>
      </c>
      <c r="K108" s="105">
        <v>0</v>
      </c>
      <c r="L108" s="105">
        <v>0</v>
      </c>
      <c r="M108" s="105">
        <v>470</v>
      </c>
      <c r="N108" s="105">
        <v>0</v>
      </c>
      <c r="O108" s="99">
        <f>R108</f>
        <v>0</v>
      </c>
      <c r="P108" s="105">
        <v>0</v>
      </c>
      <c r="Q108" s="105">
        <v>0</v>
      </c>
      <c r="R108" s="105">
        <f>1917.1-1917.1</f>
        <v>0</v>
      </c>
      <c r="S108" s="105">
        <v>0</v>
      </c>
      <c r="T108" s="99">
        <f>W108</f>
        <v>3283</v>
      </c>
      <c r="U108" s="105">
        <v>0</v>
      </c>
      <c r="V108" s="105">
        <v>0</v>
      </c>
      <c r="W108" s="105">
        <f>1490.5+1792.5</f>
        <v>3283</v>
      </c>
      <c r="X108" s="105">
        <v>0</v>
      </c>
      <c r="Y108" s="99">
        <f>AB108</f>
        <v>0</v>
      </c>
      <c r="Z108" s="105">
        <v>0</v>
      </c>
      <c r="AA108" s="105">
        <v>0</v>
      </c>
      <c r="AB108" s="105">
        <v>0</v>
      </c>
      <c r="AC108" s="105">
        <v>0</v>
      </c>
      <c r="AD108" s="99">
        <f>AG108</f>
        <v>0</v>
      </c>
      <c r="AE108" s="105">
        <v>0</v>
      </c>
      <c r="AF108" s="105">
        <v>0</v>
      </c>
      <c r="AG108" s="105">
        <v>0</v>
      </c>
      <c r="AH108" s="105">
        <v>0</v>
      </c>
      <c r="AI108" s="99">
        <f>AL108</f>
        <v>0</v>
      </c>
      <c r="AJ108" s="105">
        <v>0</v>
      </c>
      <c r="AK108" s="105">
        <v>0</v>
      </c>
      <c r="AL108" s="105">
        <v>0</v>
      </c>
      <c r="AM108" s="105">
        <v>0</v>
      </c>
      <c r="AN108" s="99">
        <f>AQ108</f>
        <v>0</v>
      </c>
      <c r="AO108" s="105">
        <v>0</v>
      </c>
      <c r="AP108" s="105">
        <v>0</v>
      </c>
      <c r="AQ108" s="105">
        <v>0</v>
      </c>
      <c r="AR108" s="105">
        <v>0</v>
      </c>
      <c r="AS108" s="99">
        <f>AV108</f>
        <v>0</v>
      </c>
      <c r="AT108" s="105">
        <v>0</v>
      </c>
      <c r="AU108" s="105">
        <v>0</v>
      </c>
      <c r="AV108" s="105">
        <v>0</v>
      </c>
      <c r="AW108" s="105">
        <v>0</v>
      </c>
      <c r="AX108" s="99">
        <f>BA108</f>
        <v>0</v>
      </c>
      <c r="AY108" s="105">
        <v>0</v>
      </c>
      <c r="AZ108" s="105">
        <v>0</v>
      </c>
      <c r="BA108" s="105">
        <v>0</v>
      </c>
      <c r="BB108" s="105">
        <v>0</v>
      </c>
    </row>
    <row r="109" spans="1:54" ht="75" outlineLevel="3" x14ac:dyDescent="0.25">
      <c r="A109" s="100" t="s">
        <v>400</v>
      </c>
      <c r="B109" s="125" t="s">
        <v>391</v>
      </c>
      <c r="C109" s="102" t="s">
        <v>66</v>
      </c>
      <c r="D109" s="102" t="s">
        <v>6</v>
      </c>
      <c r="E109" s="99">
        <f>H109</f>
        <v>564.29999999999995</v>
      </c>
      <c r="F109" s="105">
        <v>0</v>
      </c>
      <c r="G109" s="105">
        <v>0</v>
      </c>
      <c r="H109" s="104">
        <f t="shared" ref="H109" si="369">M109+R109+W109+AB109+AG109+AL109+AQ109+AV109+BA109</f>
        <v>564.29999999999995</v>
      </c>
      <c r="I109" s="105">
        <v>0</v>
      </c>
      <c r="J109" s="99">
        <f>M109</f>
        <v>0</v>
      </c>
      <c r="K109" s="105">
        <v>0</v>
      </c>
      <c r="L109" s="105">
        <v>0</v>
      </c>
      <c r="M109" s="105">
        <v>0</v>
      </c>
      <c r="N109" s="105">
        <v>0</v>
      </c>
      <c r="O109" s="99">
        <f>R109</f>
        <v>0</v>
      </c>
      <c r="P109" s="105">
        <v>0</v>
      </c>
      <c r="Q109" s="105">
        <v>0</v>
      </c>
      <c r="R109" s="105">
        <f>1917.1-1917.1</f>
        <v>0</v>
      </c>
      <c r="S109" s="105">
        <v>0</v>
      </c>
      <c r="T109" s="99">
        <f>W109</f>
        <v>0</v>
      </c>
      <c r="U109" s="105">
        <v>0</v>
      </c>
      <c r="V109" s="105">
        <v>0</v>
      </c>
      <c r="W109" s="105">
        <v>0</v>
      </c>
      <c r="X109" s="105">
        <v>0</v>
      </c>
      <c r="Y109" s="99">
        <f>AB109</f>
        <v>0</v>
      </c>
      <c r="Z109" s="105">
        <v>0</v>
      </c>
      <c r="AA109" s="105">
        <v>0</v>
      </c>
      <c r="AB109" s="105">
        <v>0</v>
      </c>
      <c r="AC109" s="105">
        <v>0</v>
      </c>
      <c r="AD109" s="99">
        <f>AG109</f>
        <v>564.29999999999995</v>
      </c>
      <c r="AE109" s="105">
        <v>0</v>
      </c>
      <c r="AF109" s="105">
        <v>0</v>
      </c>
      <c r="AG109" s="105">
        <v>564.29999999999995</v>
      </c>
      <c r="AH109" s="105">
        <v>0</v>
      </c>
      <c r="AI109" s="99">
        <f>AL109</f>
        <v>0</v>
      </c>
      <c r="AJ109" s="105">
        <v>0</v>
      </c>
      <c r="AK109" s="105">
        <v>0</v>
      </c>
      <c r="AL109" s="105">
        <v>0</v>
      </c>
      <c r="AM109" s="105">
        <v>0</v>
      </c>
      <c r="AN109" s="99">
        <f>AQ109</f>
        <v>0</v>
      </c>
      <c r="AO109" s="105">
        <v>0</v>
      </c>
      <c r="AP109" s="105">
        <v>0</v>
      </c>
      <c r="AQ109" s="105">
        <v>0</v>
      </c>
      <c r="AR109" s="105">
        <v>0</v>
      </c>
      <c r="AS109" s="99">
        <f>AV109</f>
        <v>0</v>
      </c>
      <c r="AT109" s="105">
        <v>0</v>
      </c>
      <c r="AU109" s="105">
        <v>0</v>
      </c>
      <c r="AV109" s="105">
        <v>0</v>
      </c>
      <c r="AW109" s="105">
        <v>0</v>
      </c>
      <c r="AX109" s="99">
        <f>BA109</f>
        <v>0</v>
      </c>
      <c r="AY109" s="105">
        <v>0</v>
      </c>
      <c r="AZ109" s="105">
        <v>0</v>
      </c>
      <c r="BA109" s="105">
        <v>0</v>
      </c>
      <c r="BB109" s="105">
        <v>0</v>
      </c>
    </row>
    <row r="110" spans="1:54" ht="56.25" outlineLevel="3" x14ac:dyDescent="0.25">
      <c r="A110" s="100" t="s">
        <v>418</v>
      </c>
      <c r="B110" s="125" t="s">
        <v>417</v>
      </c>
      <c r="C110" s="102" t="s">
        <v>66</v>
      </c>
      <c r="D110" s="102" t="s">
        <v>66</v>
      </c>
      <c r="E110" s="99">
        <f>H110</f>
        <v>353</v>
      </c>
      <c r="F110" s="105">
        <v>0</v>
      </c>
      <c r="G110" s="105">
        <v>0</v>
      </c>
      <c r="H110" s="104">
        <f t="shared" ref="H110" si="370">M110+R110+W110+AB110+AG110+AL110+AQ110+AV110+BA110</f>
        <v>353</v>
      </c>
      <c r="I110" s="105">
        <v>0</v>
      </c>
      <c r="J110" s="99">
        <f>M110</f>
        <v>0</v>
      </c>
      <c r="K110" s="105">
        <v>0</v>
      </c>
      <c r="L110" s="105">
        <v>0</v>
      </c>
      <c r="M110" s="105">
        <v>0</v>
      </c>
      <c r="N110" s="105">
        <v>0</v>
      </c>
      <c r="O110" s="99">
        <f>R110</f>
        <v>0</v>
      </c>
      <c r="P110" s="105">
        <v>0</v>
      </c>
      <c r="Q110" s="105">
        <v>0</v>
      </c>
      <c r="R110" s="105">
        <f>1917.1-1917.1</f>
        <v>0</v>
      </c>
      <c r="S110" s="105">
        <v>0</v>
      </c>
      <c r="T110" s="99">
        <f>W110</f>
        <v>0</v>
      </c>
      <c r="U110" s="105">
        <v>0</v>
      </c>
      <c r="V110" s="105">
        <v>0</v>
      </c>
      <c r="W110" s="105">
        <v>0</v>
      </c>
      <c r="X110" s="105">
        <v>0</v>
      </c>
      <c r="Y110" s="99">
        <f>AB110</f>
        <v>0</v>
      </c>
      <c r="Z110" s="105">
        <v>0</v>
      </c>
      <c r="AA110" s="105">
        <v>0</v>
      </c>
      <c r="AB110" s="105">
        <v>0</v>
      </c>
      <c r="AC110" s="105">
        <v>0</v>
      </c>
      <c r="AD110" s="99">
        <f>AG110</f>
        <v>353</v>
      </c>
      <c r="AE110" s="105"/>
      <c r="AF110" s="105">
        <v>0</v>
      </c>
      <c r="AG110" s="105">
        <v>353</v>
      </c>
      <c r="AH110" s="105">
        <v>0</v>
      </c>
      <c r="AI110" s="99">
        <f>AL110</f>
        <v>0</v>
      </c>
      <c r="AJ110" s="105">
        <v>0</v>
      </c>
      <c r="AK110" s="105">
        <v>0</v>
      </c>
      <c r="AL110" s="105">
        <v>0</v>
      </c>
      <c r="AM110" s="105">
        <v>0</v>
      </c>
      <c r="AN110" s="99">
        <f>AQ110</f>
        <v>0</v>
      </c>
      <c r="AO110" s="105">
        <v>0</v>
      </c>
      <c r="AP110" s="105">
        <v>0</v>
      </c>
      <c r="AQ110" s="105">
        <v>0</v>
      </c>
      <c r="AR110" s="105">
        <v>0</v>
      </c>
      <c r="AS110" s="99">
        <f>AV110</f>
        <v>0</v>
      </c>
      <c r="AT110" s="105">
        <v>0</v>
      </c>
      <c r="AU110" s="105">
        <v>0</v>
      </c>
      <c r="AV110" s="105">
        <v>0</v>
      </c>
      <c r="AW110" s="105">
        <v>0</v>
      </c>
      <c r="AX110" s="99">
        <f>BA110</f>
        <v>0</v>
      </c>
      <c r="AY110" s="105">
        <v>0</v>
      </c>
      <c r="AZ110" s="105">
        <v>0</v>
      </c>
      <c r="BA110" s="105">
        <v>0</v>
      </c>
      <c r="BB110" s="105">
        <v>0</v>
      </c>
    </row>
    <row r="111" spans="1:54" s="98" customFormat="1" outlineLevel="1" x14ac:dyDescent="0.25">
      <c r="A111" s="97">
        <v>6</v>
      </c>
      <c r="B111" s="186" t="s">
        <v>160</v>
      </c>
      <c r="C111" s="186"/>
      <c r="D111" s="186"/>
      <c r="E111" s="99">
        <f t="shared" ref="E111:G111" si="371">J111+O111+T111+Y111+AD111+AI111+AN111+AS111+AX111</f>
        <v>783626.70000000007</v>
      </c>
      <c r="F111" s="99">
        <f t="shared" si="371"/>
        <v>0</v>
      </c>
      <c r="G111" s="99">
        <f t="shared" si="371"/>
        <v>0</v>
      </c>
      <c r="H111" s="99">
        <f>M111+R111+W111+AB111+AG111+AL111+AQ111+AV111+BA111</f>
        <v>783626.70000000007</v>
      </c>
      <c r="I111" s="99">
        <f t="shared" ref="I111:AJ111" si="372">I112+I132+I151</f>
        <v>0</v>
      </c>
      <c r="J111" s="99">
        <f>ROUND((J112+J132+J151),1)</f>
        <v>63336.800000000003</v>
      </c>
      <c r="K111" s="99">
        <f t="shared" si="372"/>
        <v>0</v>
      </c>
      <c r="L111" s="99">
        <f t="shared" si="372"/>
        <v>0</v>
      </c>
      <c r="M111" s="99">
        <f>ROUND((M112+M132+M151),1)</f>
        <v>63336.800000000003</v>
      </c>
      <c r="N111" s="99">
        <f t="shared" si="372"/>
        <v>0</v>
      </c>
      <c r="O111" s="99">
        <f>ROUND((O112+O132+O151),1)</f>
        <v>72607.100000000006</v>
      </c>
      <c r="P111" s="99">
        <f t="shared" si="372"/>
        <v>0</v>
      </c>
      <c r="Q111" s="99">
        <f t="shared" si="372"/>
        <v>0</v>
      </c>
      <c r="R111" s="99">
        <f>ROUND((R112+R132+R151),1)</f>
        <v>72607.100000000006</v>
      </c>
      <c r="S111" s="99">
        <f t="shared" si="372"/>
        <v>0</v>
      </c>
      <c r="T111" s="99">
        <f>ROUND((T112+T132+T151),1)</f>
        <v>72917.399999999994</v>
      </c>
      <c r="U111" s="99">
        <f t="shared" si="372"/>
        <v>0</v>
      </c>
      <c r="V111" s="99">
        <f t="shared" si="372"/>
        <v>0</v>
      </c>
      <c r="W111" s="99">
        <f>ROUND((W112+W132+W151),1)</f>
        <v>72917.399999999994</v>
      </c>
      <c r="X111" s="99">
        <f t="shared" si="372"/>
        <v>0</v>
      </c>
      <c r="Y111" s="99">
        <f>ROUND((Y112+Y132+Y151),1)</f>
        <v>78825.5</v>
      </c>
      <c r="Z111" s="99">
        <f t="shared" si="372"/>
        <v>0</v>
      </c>
      <c r="AA111" s="99">
        <f t="shared" si="372"/>
        <v>0</v>
      </c>
      <c r="AB111" s="99">
        <f>ROUND((AB112+AB132+AB151),1)</f>
        <v>78825.5</v>
      </c>
      <c r="AC111" s="99">
        <f t="shared" si="372"/>
        <v>0</v>
      </c>
      <c r="AD111" s="99">
        <f>ROUND((AD112+AD132+AD151),1)</f>
        <v>86428.2</v>
      </c>
      <c r="AE111" s="99">
        <f t="shared" si="372"/>
        <v>0</v>
      </c>
      <c r="AF111" s="99">
        <f t="shared" si="372"/>
        <v>0</v>
      </c>
      <c r="AG111" s="99">
        <f>ROUND((AG112+AG132+AG151),1)</f>
        <v>86428.2</v>
      </c>
      <c r="AH111" s="99">
        <f t="shared" si="372"/>
        <v>0</v>
      </c>
      <c r="AI111" s="99">
        <f>ROUND((AI112+AI132+AI151),1)</f>
        <v>93079.3</v>
      </c>
      <c r="AJ111" s="99">
        <f t="shared" si="372"/>
        <v>0</v>
      </c>
      <c r="AK111" s="99">
        <f t="shared" ref="AK111:BB111" si="373">AK112+AK132+AK151</f>
        <v>0</v>
      </c>
      <c r="AL111" s="99">
        <f>ROUND((AL112+AL132+AL151),1)</f>
        <v>93079.3</v>
      </c>
      <c r="AM111" s="99">
        <f t="shared" si="373"/>
        <v>0</v>
      </c>
      <c r="AN111" s="99">
        <f>ROUND((AN112+AN132+AN151),1)</f>
        <v>103182.3</v>
      </c>
      <c r="AO111" s="99">
        <f t="shared" si="373"/>
        <v>0</v>
      </c>
      <c r="AP111" s="99">
        <f t="shared" si="373"/>
        <v>0</v>
      </c>
      <c r="AQ111" s="99">
        <f>ROUND((AQ112+AQ132+AQ151),1)</f>
        <v>103182.3</v>
      </c>
      <c r="AR111" s="99">
        <f t="shared" si="373"/>
        <v>0</v>
      </c>
      <c r="AS111" s="99">
        <f>ROUND((AS112+AS132+AS151),1)</f>
        <v>105141.2</v>
      </c>
      <c r="AT111" s="99">
        <f t="shared" si="373"/>
        <v>0</v>
      </c>
      <c r="AU111" s="99">
        <f t="shared" si="373"/>
        <v>0</v>
      </c>
      <c r="AV111" s="99">
        <f>ROUND((AV112+AV132+AV151),1)</f>
        <v>105141.2</v>
      </c>
      <c r="AW111" s="99">
        <f t="shared" si="373"/>
        <v>0</v>
      </c>
      <c r="AX111" s="99">
        <f>ROUND((AX112+AX132+AX151),1)</f>
        <v>108108.9</v>
      </c>
      <c r="AY111" s="99">
        <f t="shared" si="373"/>
        <v>0</v>
      </c>
      <c r="AZ111" s="99">
        <f t="shared" si="373"/>
        <v>0</v>
      </c>
      <c r="BA111" s="99">
        <f>ROUND((BA112+BA132+BA151),1)</f>
        <v>108108.9</v>
      </c>
      <c r="BB111" s="99">
        <f t="shared" si="373"/>
        <v>0</v>
      </c>
    </row>
    <row r="112" spans="1:54" s="98" customFormat="1" ht="48.75" customHeight="1" outlineLevel="2" x14ac:dyDescent="0.25">
      <c r="A112" s="97" t="s">
        <v>33</v>
      </c>
      <c r="B112" s="178" t="s">
        <v>350</v>
      </c>
      <c r="C112" s="178"/>
      <c r="D112" s="178"/>
      <c r="E112" s="99">
        <f>SUM(E113:E131)</f>
        <v>330439.39999999997</v>
      </c>
      <c r="F112" s="99">
        <f t="shared" ref="F112:AL112" si="374">SUM(F113:F131)</f>
        <v>0</v>
      </c>
      <c r="G112" s="99">
        <f t="shared" si="374"/>
        <v>0</v>
      </c>
      <c r="H112" s="99">
        <f t="shared" si="374"/>
        <v>330439.39999999997</v>
      </c>
      <c r="I112" s="99">
        <f t="shared" si="374"/>
        <v>0</v>
      </c>
      <c r="J112" s="99">
        <f t="shared" si="374"/>
        <v>22596</v>
      </c>
      <c r="K112" s="99">
        <f t="shared" si="374"/>
        <v>0</v>
      </c>
      <c r="L112" s="99">
        <f t="shared" si="374"/>
        <v>0</v>
      </c>
      <c r="M112" s="99">
        <f t="shared" si="374"/>
        <v>22596</v>
      </c>
      <c r="N112" s="99">
        <f t="shared" si="374"/>
        <v>0</v>
      </c>
      <c r="O112" s="99">
        <f t="shared" si="374"/>
        <v>22424.5</v>
      </c>
      <c r="P112" s="99">
        <f t="shared" si="374"/>
        <v>0</v>
      </c>
      <c r="Q112" s="99">
        <f t="shared" si="374"/>
        <v>0</v>
      </c>
      <c r="R112" s="99">
        <f>SUM(R113:R131)</f>
        <v>22424.5</v>
      </c>
      <c r="S112" s="99">
        <f t="shared" si="374"/>
        <v>0</v>
      </c>
      <c r="T112" s="99">
        <f t="shared" si="374"/>
        <v>23548.999999999996</v>
      </c>
      <c r="U112" s="99">
        <f t="shared" si="374"/>
        <v>0</v>
      </c>
      <c r="V112" s="99">
        <f t="shared" si="374"/>
        <v>0</v>
      </c>
      <c r="W112" s="99">
        <f>SUM(W113:W131)</f>
        <v>23548.999999999996</v>
      </c>
      <c r="X112" s="99">
        <f t="shared" si="374"/>
        <v>0</v>
      </c>
      <c r="Y112" s="99">
        <f t="shared" si="374"/>
        <v>30067.3</v>
      </c>
      <c r="Z112" s="99">
        <f t="shared" si="374"/>
        <v>0</v>
      </c>
      <c r="AA112" s="99">
        <f t="shared" si="374"/>
        <v>0</v>
      </c>
      <c r="AB112" s="99">
        <f>SUM(AB113:AB131)</f>
        <v>30067.3</v>
      </c>
      <c r="AC112" s="99">
        <f t="shared" si="374"/>
        <v>0</v>
      </c>
      <c r="AD112" s="99">
        <f t="shared" si="374"/>
        <v>38708.200000000004</v>
      </c>
      <c r="AE112" s="99">
        <f t="shared" si="374"/>
        <v>0</v>
      </c>
      <c r="AF112" s="99">
        <f t="shared" si="374"/>
        <v>0</v>
      </c>
      <c r="AG112" s="99">
        <f>SUM(AG113:AG131)</f>
        <v>38708.200000000004</v>
      </c>
      <c r="AH112" s="99">
        <f t="shared" si="374"/>
        <v>0</v>
      </c>
      <c r="AI112" s="99">
        <f t="shared" si="374"/>
        <v>40246.499999999993</v>
      </c>
      <c r="AJ112" s="99">
        <f t="shared" si="374"/>
        <v>0</v>
      </c>
      <c r="AK112" s="99">
        <f t="shared" si="374"/>
        <v>0</v>
      </c>
      <c r="AL112" s="99">
        <f t="shared" si="374"/>
        <v>40246.499999999993</v>
      </c>
      <c r="AM112" s="99">
        <f>SUM(AM113:AM129)</f>
        <v>0</v>
      </c>
      <c r="AN112" s="99">
        <f t="shared" ref="AN112:AQ112" si="375">SUM(AN113:AN131)</f>
        <v>46861.000000000007</v>
      </c>
      <c r="AO112" s="99">
        <f t="shared" si="375"/>
        <v>0</v>
      </c>
      <c r="AP112" s="99">
        <f t="shared" si="375"/>
        <v>0</v>
      </c>
      <c r="AQ112" s="99">
        <f t="shared" si="375"/>
        <v>46861.000000000007</v>
      </c>
      <c r="AR112" s="99">
        <f>SUM(AR113:AR129)</f>
        <v>0</v>
      </c>
      <c r="AS112" s="99">
        <f t="shared" ref="AS112:AV112" si="376">SUM(AS113:AS131)</f>
        <v>51954.400000000001</v>
      </c>
      <c r="AT112" s="99">
        <f t="shared" si="376"/>
        <v>0</v>
      </c>
      <c r="AU112" s="99">
        <f t="shared" si="376"/>
        <v>0</v>
      </c>
      <c r="AV112" s="99">
        <f t="shared" si="376"/>
        <v>51954.400000000001</v>
      </c>
      <c r="AW112" s="99">
        <f>SUM(AW113:AW129)</f>
        <v>0</v>
      </c>
      <c r="AX112" s="99">
        <f t="shared" ref="AX112:BA112" si="377">SUM(AX113:AX131)</f>
        <v>54032.500000000007</v>
      </c>
      <c r="AY112" s="99">
        <f t="shared" si="377"/>
        <v>0</v>
      </c>
      <c r="AZ112" s="99">
        <f t="shared" si="377"/>
        <v>0</v>
      </c>
      <c r="BA112" s="99">
        <f t="shared" si="377"/>
        <v>54032.500000000007</v>
      </c>
      <c r="BB112" s="99">
        <f>SUM(BB113:BB129)</f>
        <v>0</v>
      </c>
    </row>
    <row r="113" spans="1:54" ht="93.75" outlineLevel="3" x14ac:dyDescent="0.25">
      <c r="A113" s="126" t="s">
        <v>103</v>
      </c>
      <c r="B113" s="127" t="s">
        <v>463</v>
      </c>
      <c r="C113" s="106" t="s">
        <v>67</v>
      </c>
      <c r="D113" s="102" t="s">
        <v>36</v>
      </c>
      <c r="E113" s="103">
        <f t="shared" ref="E113:E129" si="378">SUM(F113:I113)</f>
        <v>31587.4</v>
      </c>
      <c r="F113" s="104">
        <f t="shared" ref="F113:G129" si="379">K113+P113+U113</f>
        <v>0</v>
      </c>
      <c r="G113" s="104">
        <f t="shared" si="379"/>
        <v>0</v>
      </c>
      <c r="H113" s="104">
        <f t="shared" ref="H113:H170" si="380">M113+R113+W113+AB113+AG113+AL113+AQ113+AV113+BA113</f>
        <v>31587.4</v>
      </c>
      <c r="I113" s="104">
        <f t="shared" ref="I113:I129" si="381">N113+S113+X113</f>
        <v>0</v>
      </c>
      <c r="J113" s="99">
        <f t="shared" ref="J113:J129" si="382">SUM(K113:N113)</f>
        <v>1541.3</v>
      </c>
      <c r="K113" s="105">
        <v>0</v>
      </c>
      <c r="L113" s="105">
        <v>0</v>
      </c>
      <c r="M113" s="105">
        <v>1541.3</v>
      </c>
      <c r="N113" s="105">
        <v>0</v>
      </c>
      <c r="O113" s="99">
        <f t="shared" ref="O113:O129" si="383">SUM(P113:S113)</f>
        <v>1006.8</v>
      </c>
      <c r="P113" s="105">
        <v>0</v>
      </c>
      <c r="Q113" s="105">
        <v>0</v>
      </c>
      <c r="R113" s="105">
        <v>1006.8</v>
      </c>
      <c r="S113" s="105">
        <v>0</v>
      </c>
      <c r="T113" s="99">
        <f t="shared" ref="T113:T129" si="384">SUM(U113:X113)</f>
        <v>2900.7</v>
      </c>
      <c r="U113" s="105">
        <v>0</v>
      </c>
      <c r="V113" s="105">
        <v>0</v>
      </c>
      <c r="W113" s="105">
        <v>2900.7</v>
      </c>
      <c r="X113" s="105">
        <v>0</v>
      </c>
      <c r="Y113" s="99">
        <f t="shared" ref="Y113:Y129" si="385">SUM(Z113:AC113)</f>
        <v>4526.1000000000004</v>
      </c>
      <c r="Z113" s="105">
        <v>0</v>
      </c>
      <c r="AA113" s="105">
        <v>0</v>
      </c>
      <c r="AB113" s="104">
        <f>2605.9+328.2+1592</f>
        <v>4526.1000000000004</v>
      </c>
      <c r="AC113" s="105">
        <v>0</v>
      </c>
      <c r="AD113" s="99">
        <f t="shared" ref="AD113:AD129" si="386">SUM(AE113:AH113)</f>
        <v>4394.6000000000004</v>
      </c>
      <c r="AE113" s="105">
        <v>0</v>
      </c>
      <c r="AF113" s="105">
        <v>0</v>
      </c>
      <c r="AG113" s="128">
        <v>4394.6000000000004</v>
      </c>
      <c r="AH113" s="105">
        <v>0</v>
      </c>
      <c r="AI113" s="99">
        <f t="shared" ref="AI113:AI129" si="387">SUM(AJ113:AM113)</f>
        <v>4185.5</v>
      </c>
      <c r="AJ113" s="105">
        <v>0</v>
      </c>
      <c r="AK113" s="105">
        <v>0</v>
      </c>
      <c r="AL113" s="128">
        <v>4185.5</v>
      </c>
      <c r="AM113" s="105">
        <v>0</v>
      </c>
      <c r="AN113" s="99">
        <f t="shared" ref="AN113:AN114" si="388">SUM(AO113:AR113)</f>
        <v>4158.6000000000004</v>
      </c>
      <c r="AO113" s="105">
        <v>0</v>
      </c>
      <c r="AP113" s="105">
        <v>0</v>
      </c>
      <c r="AQ113" s="151">
        <v>4158.6000000000004</v>
      </c>
      <c r="AR113" s="105">
        <v>0</v>
      </c>
      <c r="AS113" s="99">
        <f t="shared" ref="AS113:AS114" si="389">SUM(AT113:AW113)</f>
        <v>4349.8999999999996</v>
      </c>
      <c r="AT113" s="105">
        <v>0</v>
      </c>
      <c r="AU113" s="105">
        <v>0</v>
      </c>
      <c r="AV113" s="128">
        <v>4349.8999999999996</v>
      </c>
      <c r="AW113" s="105">
        <v>0</v>
      </c>
      <c r="AX113" s="99">
        <f t="shared" ref="AX113:AX114" si="390">SUM(AY113:BB113)</f>
        <v>4523.8999999999996</v>
      </c>
      <c r="AY113" s="105">
        <v>0</v>
      </c>
      <c r="AZ113" s="105">
        <v>0</v>
      </c>
      <c r="BA113" s="128">
        <v>4523.8999999999996</v>
      </c>
      <c r="BB113" s="105">
        <v>0</v>
      </c>
    </row>
    <row r="114" spans="1:54" ht="93.75" outlineLevel="3" x14ac:dyDescent="0.25">
      <c r="A114" s="126" t="s">
        <v>104</v>
      </c>
      <c r="B114" s="127" t="s">
        <v>464</v>
      </c>
      <c r="C114" s="106" t="s">
        <v>67</v>
      </c>
      <c r="D114" s="102" t="s">
        <v>36</v>
      </c>
      <c r="E114" s="103">
        <f t="shared" si="378"/>
        <v>13545.7</v>
      </c>
      <c r="F114" s="104">
        <f t="shared" si="379"/>
        <v>0</v>
      </c>
      <c r="G114" s="104">
        <f t="shared" si="379"/>
        <v>0</v>
      </c>
      <c r="H114" s="104">
        <f t="shared" si="380"/>
        <v>13545.7</v>
      </c>
      <c r="I114" s="104">
        <f t="shared" si="381"/>
        <v>0</v>
      </c>
      <c r="J114" s="99">
        <f t="shared" si="382"/>
        <v>853.5</v>
      </c>
      <c r="K114" s="105">
        <v>0</v>
      </c>
      <c r="L114" s="105">
        <v>0</v>
      </c>
      <c r="M114" s="105">
        <v>853.5</v>
      </c>
      <c r="N114" s="105">
        <v>0</v>
      </c>
      <c r="O114" s="99">
        <f t="shared" si="383"/>
        <v>928.3</v>
      </c>
      <c r="P114" s="105">
        <v>0</v>
      </c>
      <c r="Q114" s="105">
        <v>0</v>
      </c>
      <c r="R114" s="105">
        <v>928.3</v>
      </c>
      <c r="S114" s="105">
        <v>0</v>
      </c>
      <c r="T114" s="99">
        <f t="shared" si="384"/>
        <v>749.7</v>
      </c>
      <c r="U114" s="105">
        <v>0</v>
      </c>
      <c r="V114" s="105">
        <v>0</v>
      </c>
      <c r="W114" s="105">
        <v>749.7</v>
      </c>
      <c r="X114" s="105">
        <v>0</v>
      </c>
      <c r="Y114" s="99">
        <f t="shared" si="385"/>
        <v>1065.7</v>
      </c>
      <c r="Z114" s="105">
        <v>0</v>
      </c>
      <c r="AA114" s="105">
        <v>0</v>
      </c>
      <c r="AB114" s="104">
        <v>1065.7</v>
      </c>
      <c r="AC114" s="105">
        <v>0</v>
      </c>
      <c r="AD114" s="99">
        <f t="shared" si="386"/>
        <v>1479</v>
      </c>
      <c r="AE114" s="105">
        <v>0</v>
      </c>
      <c r="AF114" s="105">
        <v>0</v>
      </c>
      <c r="AG114" s="128">
        <v>1479</v>
      </c>
      <c r="AH114" s="105">
        <v>0</v>
      </c>
      <c r="AI114" s="99">
        <f t="shared" si="387"/>
        <v>1767.1</v>
      </c>
      <c r="AJ114" s="105">
        <v>0</v>
      </c>
      <c r="AK114" s="105">
        <v>0</v>
      </c>
      <c r="AL114" s="128">
        <f>1435.5+331.6</f>
        <v>1767.1</v>
      </c>
      <c r="AM114" s="105">
        <v>0</v>
      </c>
      <c r="AN114" s="99">
        <f t="shared" si="388"/>
        <v>2138.6999999999998</v>
      </c>
      <c r="AO114" s="105">
        <v>0</v>
      </c>
      <c r="AP114" s="105">
        <v>0</v>
      </c>
      <c r="AQ114" s="151">
        <v>2138.6999999999998</v>
      </c>
      <c r="AR114" s="105">
        <v>0</v>
      </c>
      <c r="AS114" s="99">
        <f t="shared" si="389"/>
        <v>2237.1</v>
      </c>
      <c r="AT114" s="105">
        <v>0</v>
      </c>
      <c r="AU114" s="105">
        <v>0</v>
      </c>
      <c r="AV114" s="128">
        <v>2237.1</v>
      </c>
      <c r="AW114" s="105">
        <v>0</v>
      </c>
      <c r="AX114" s="99">
        <f t="shared" si="390"/>
        <v>2326.6</v>
      </c>
      <c r="AY114" s="105">
        <v>0</v>
      </c>
      <c r="AZ114" s="105">
        <v>0</v>
      </c>
      <c r="BA114" s="128">
        <v>2326.6</v>
      </c>
      <c r="BB114" s="105">
        <v>0</v>
      </c>
    </row>
    <row r="115" spans="1:54" ht="93.75" outlineLevel="3" x14ac:dyDescent="0.25">
      <c r="A115" s="126" t="s">
        <v>105</v>
      </c>
      <c r="B115" s="127" t="s">
        <v>465</v>
      </c>
      <c r="C115" s="106" t="s">
        <v>67</v>
      </c>
      <c r="D115" s="102" t="s">
        <v>36</v>
      </c>
      <c r="E115" s="103">
        <f t="shared" si="378"/>
        <v>27471.600000000002</v>
      </c>
      <c r="F115" s="104">
        <f t="shared" si="379"/>
        <v>0</v>
      </c>
      <c r="G115" s="104">
        <f t="shared" si="379"/>
        <v>0</v>
      </c>
      <c r="H115" s="104">
        <f t="shared" si="380"/>
        <v>27471.600000000002</v>
      </c>
      <c r="I115" s="104">
        <f t="shared" si="381"/>
        <v>0</v>
      </c>
      <c r="J115" s="99">
        <v>0</v>
      </c>
      <c r="K115" s="105">
        <v>0</v>
      </c>
      <c r="L115" s="105">
        <v>0</v>
      </c>
      <c r="M115" s="105">
        <v>0</v>
      </c>
      <c r="N115" s="105">
        <v>0</v>
      </c>
      <c r="O115" s="99">
        <f>R115</f>
        <v>2262.3000000000002</v>
      </c>
      <c r="P115" s="105">
        <v>0</v>
      </c>
      <c r="Q115" s="105">
        <v>0</v>
      </c>
      <c r="R115" s="105">
        <v>2262.3000000000002</v>
      </c>
      <c r="S115" s="105">
        <v>0</v>
      </c>
      <c r="T115" s="99">
        <f>W115</f>
        <v>2217.6</v>
      </c>
      <c r="U115" s="105">
        <v>0</v>
      </c>
      <c r="V115" s="105">
        <v>0</v>
      </c>
      <c r="W115" s="105">
        <v>2217.6</v>
      </c>
      <c r="X115" s="105">
        <v>0</v>
      </c>
      <c r="Y115" s="99">
        <f>AB115</f>
        <v>3451.7999999999997</v>
      </c>
      <c r="Z115" s="105">
        <v>0</v>
      </c>
      <c r="AA115" s="105">
        <v>0</v>
      </c>
      <c r="AB115" s="104">
        <f>3461.1-9.3</f>
        <v>3451.7999999999997</v>
      </c>
      <c r="AC115" s="105">
        <v>0</v>
      </c>
      <c r="AD115" s="99">
        <f>AG115</f>
        <v>3142.3</v>
      </c>
      <c r="AE115" s="105">
        <v>0</v>
      </c>
      <c r="AF115" s="105">
        <v>0</v>
      </c>
      <c r="AG115" s="128">
        <v>3142.3</v>
      </c>
      <c r="AH115" s="105">
        <v>0</v>
      </c>
      <c r="AI115" s="99">
        <f>AL115</f>
        <v>3503.7</v>
      </c>
      <c r="AJ115" s="105">
        <v>0</v>
      </c>
      <c r="AK115" s="105">
        <v>0</v>
      </c>
      <c r="AL115" s="128">
        <f>3132.6+371.1</f>
        <v>3503.7</v>
      </c>
      <c r="AM115" s="105">
        <v>0</v>
      </c>
      <c r="AN115" s="99">
        <f>AQ115</f>
        <v>3224.9</v>
      </c>
      <c r="AO115" s="105">
        <v>0</v>
      </c>
      <c r="AP115" s="105">
        <v>0</v>
      </c>
      <c r="AQ115" s="151">
        <f>4531.3-1306.4</f>
        <v>3224.9</v>
      </c>
      <c r="AR115" s="105">
        <v>0</v>
      </c>
      <c r="AS115" s="99">
        <f>AV115</f>
        <v>4739.7</v>
      </c>
      <c r="AT115" s="105">
        <v>0</v>
      </c>
      <c r="AU115" s="105">
        <v>0</v>
      </c>
      <c r="AV115" s="128">
        <v>4739.7</v>
      </c>
      <c r="AW115" s="105">
        <v>0</v>
      </c>
      <c r="AX115" s="99">
        <f>BA115</f>
        <v>4929.3</v>
      </c>
      <c r="AY115" s="105">
        <v>0</v>
      </c>
      <c r="AZ115" s="105">
        <v>0</v>
      </c>
      <c r="BA115" s="128">
        <v>4929.3</v>
      </c>
      <c r="BB115" s="105">
        <v>0</v>
      </c>
    </row>
    <row r="116" spans="1:54" ht="93.75" outlineLevel="3" x14ac:dyDescent="0.25">
      <c r="A116" s="126" t="s">
        <v>106</v>
      </c>
      <c r="B116" s="127" t="s">
        <v>466</v>
      </c>
      <c r="C116" s="106" t="s">
        <v>67</v>
      </c>
      <c r="D116" s="102" t="s">
        <v>36</v>
      </c>
      <c r="E116" s="103">
        <f t="shared" si="378"/>
        <v>12551.2</v>
      </c>
      <c r="F116" s="104">
        <f t="shared" si="379"/>
        <v>0</v>
      </c>
      <c r="G116" s="104">
        <f t="shared" si="379"/>
        <v>0</v>
      </c>
      <c r="H116" s="104">
        <f t="shared" si="380"/>
        <v>12551.2</v>
      </c>
      <c r="I116" s="104">
        <f t="shared" si="381"/>
        <v>0</v>
      </c>
      <c r="J116" s="99">
        <f t="shared" si="382"/>
        <v>558</v>
      </c>
      <c r="K116" s="105">
        <v>0</v>
      </c>
      <c r="L116" s="105">
        <v>0</v>
      </c>
      <c r="M116" s="105">
        <v>558</v>
      </c>
      <c r="N116" s="105">
        <v>0</v>
      </c>
      <c r="O116" s="99">
        <f t="shared" si="383"/>
        <v>680.9</v>
      </c>
      <c r="P116" s="105">
        <v>0</v>
      </c>
      <c r="Q116" s="105">
        <v>0</v>
      </c>
      <c r="R116" s="105">
        <f>614.3+66.6</f>
        <v>680.9</v>
      </c>
      <c r="S116" s="105">
        <v>0</v>
      </c>
      <c r="T116" s="99">
        <f t="shared" si="384"/>
        <v>1222.5999999999999</v>
      </c>
      <c r="U116" s="105">
        <v>0</v>
      </c>
      <c r="V116" s="105">
        <v>0</v>
      </c>
      <c r="W116" s="105">
        <v>1222.5999999999999</v>
      </c>
      <c r="X116" s="105">
        <v>0</v>
      </c>
      <c r="Y116" s="99">
        <f t="shared" si="385"/>
        <v>1125.5999999999999</v>
      </c>
      <c r="Z116" s="105">
        <v>0</v>
      </c>
      <c r="AA116" s="105">
        <v>0</v>
      </c>
      <c r="AB116" s="104">
        <v>1125.5999999999999</v>
      </c>
      <c r="AC116" s="105">
        <v>0</v>
      </c>
      <c r="AD116" s="99">
        <f t="shared" si="386"/>
        <v>1297.7</v>
      </c>
      <c r="AE116" s="105">
        <v>0</v>
      </c>
      <c r="AF116" s="105">
        <v>0</v>
      </c>
      <c r="AG116" s="128">
        <f>1382.7-85</f>
        <v>1297.7</v>
      </c>
      <c r="AH116" s="105">
        <v>0</v>
      </c>
      <c r="AI116" s="99">
        <f t="shared" si="387"/>
        <v>1456</v>
      </c>
      <c r="AJ116" s="105">
        <v>0</v>
      </c>
      <c r="AK116" s="105">
        <v>0</v>
      </c>
      <c r="AL116" s="128">
        <f>1523.4+121.5-188.9</f>
        <v>1456</v>
      </c>
      <c r="AM116" s="105">
        <v>0</v>
      </c>
      <c r="AN116" s="99">
        <f t="shared" ref="AN116:AN129" si="391">SUM(AO116:AR116)</f>
        <v>1981.7</v>
      </c>
      <c r="AO116" s="105">
        <v>0</v>
      </c>
      <c r="AP116" s="105">
        <v>0</v>
      </c>
      <c r="AQ116" s="151">
        <v>1981.7</v>
      </c>
      <c r="AR116" s="105">
        <v>0</v>
      </c>
      <c r="AS116" s="99">
        <f t="shared" ref="AS116:AS129" si="392">SUM(AT116:AW116)</f>
        <v>2072.9</v>
      </c>
      <c r="AT116" s="105">
        <v>0</v>
      </c>
      <c r="AU116" s="105">
        <v>0</v>
      </c>
      <c r="AV116" s="128">
        <v>2072.9</v>
      </c>
      <c r="AW116" s="105">
        <v>0</v>
      </c>
      <c r="AX116" s="99">
        <f t="shared" ref="AX116:AX129" si="393">SUM(AY116:BB116)</f>
        <v>2155.8000000000002</v>
      </c>
      <c r="AY116" s="105">
        <v>0</v>
      </c>
      <c r="AZ116" s="105">
        <v>0</v>
      </c>
      <c r="BA116" s="128">
        <v>2155.8000000000002</v>
      </c>
      <c r="BB116" s="105">
        <v>0</v>
      </c>
    </row>
    <row r="117" spans="1:54" ht="93.75" outlineLevel="3" x14ac:dyDescent="0.25">
      <c r="A117" s="126" t="s">
        <v>107</v>
      </c>
      <c r="B117" s="127" t="s">
        <v>467</v>
      </c>
      <c r="C117" s="106" t="s">
        <v>67</v>
      </c>
      <c r="D117" s="102" t="s">
        <v>36</v>
      </c>
      <c r="E117" s="103">
        <f t="shared" si="378"/>
        <v>15717.599999999999</v>
      </c>
      <c r="F117" s="104">
        <f t="shared" si="379"/>
        <v>0</v>
      </c>
      <c r="G117" s="104">
        <f t="shared" si="379"/>
        <v>0</v>
      </c>
      <c r="H117" s="104">
        <f t="shared" si="380"/>
        <v>15717.599999999999</v>
      </c>
      <c r="I117" s="104">
        <f t="shared" si="381"/>
        <v>0</v>
      </c>
      <c r="J117" s="99">
        <f t="shared" si="382"/>
        <v>1263.3</v>
      </c>
      <c r="K117" s="105">
        <v>0</v>
      </c>
      <c r="L117" s="105">
        <v>0</v>
      </c>
      <c r="M117" s="105">
        <v>1263.3</v>
      </c>
      <c r="N117" s="105">
        <v>0</v>
      </c>
      <c r="O117" s="99">
        <f t="shared" si="383"/>
        <v>1184.8</v>
      </c>
      <c r="P117" s="105">
        <v>0</v>
      </c>
      <c r="Q117" s="105">
        <v>0</v>
      </c>
      <c r="R117" s="105">
        <v>1184.8</v>
      </c>
      <c r="S117" s="105">
        <v>0</v>
      </c>
      <c r="T117" s="99">
        <f t="shared" si="384"/>
        <v>1283.4000000000001</v>
      </c>
      <c r="U117" s="105">
        <v>0</v>
      </c>
      <c r="V117" s="105">
        <v>0</v>
      </c>
      <c r="W117" s="105">
        <v>1283.4000000000001</v>
      </c>
      <c r="X117" s="105">
        <v>0</v>
      </c>
      <c r="Y117" s="99">
        <f t="shared" si="385"/>
        <v>1414.6000000000001</v>
      </c>
      <c r="Z117" s="105">
        <v>0</v>
      </c>
      <c r="AA117" s="105">
        <v>0</v>
      </c>
      <c r="AB117" s="104">
        <f>1415.9-1.3</f>
        <v>1414.6000000000001</v>
      </c>
      <c r="AC117" s="105">
        <v>0</v>
      </c>
      <c r="AD117" s="99">
        <f t="shared" si="386"/>
        <v>1469.9</v>
      </c>
      <c r="AE117" s="105">
        <v>0</v>
      </c>
      <c r="AF117" s="105">
        <v>0</v>
      </c>
      <c r="AG117" s="128">
        <v>1469.9</v>
      </c>
      <c r="AH117" s="105">
        <v>0</v>
      </c>
      <c r="AI117" s="99">
        <f t="shared" si="387"/>
        <v>1988.6</v>
      </c>
      <c r="AJ117" s="105">
        <v>0</v>
      </c>
      <c r="AK117" s="105">
        <v>0</v>
      </c>
      <c r="AL117" s="128">
        <f>1458.1+639.4-108.9</f>
        <v>1988.6</v>
      </c>
      <c r="AM117" s="105">
        <v>0</v>
      </c>
      <c r="AN117" s="99">
        <f t="shared" si="391"/>
        <v>1861.1999999999998</v>
      </c>
      <c r="AO117" s="105">
        <v>0</v>
      </c>
      <c r="AP117" s="105">
        <v>0</v>
      </c>
      <c r="AQ117" s="151">
        <f>2461.2-600</f>
        <v>1861.1999999999998</v>
      </c>
      <c r="AR117" s="105">
        <v>0</v>
      </c>
      <c r="AS117" s="99">
        <f t="shared" si="392"/>
        <v>2574.4</v>
      </c>
      <c r="AT117" s="105">
        <v>0</v>
      </c>
      <c r="AU117" s="105">
        <v>0</v>
      </c>
      <c r="AV117" s="128">
        <v>2574.4</v>
      </c>
      <c r="AW117" s="105">
        <v>0</v>
      </c>
      <c r="AX117" s="99">
        <f t="shared" si="393"/>
        <v>2677.4</v>
      </c>
      <c r="AY117" s="105">
        <v>0</v>
      </c>
      <c r="AZ117" s="105">
        <v>0</v>
      </c>
      <c r="BA117" s="128">
        <v>2677.4</v>
      </c>
      <c r="BB117" s="105">
        <v>0</v>
      </c>
    </row>
    <row r="118" spans="1:54" ht="93.75" outlineLevel="3" x14ac:dyDescent="0.25">
      <c r="A118" s="126" t="s">
        <v>108</v>
      </c>
      <c r="B118" s="127" t="s">
        <v>468</v>
      </c>
      <c r="C118" s="106" t="s">
        <v>67</v>
      </c>
      <c r="D118" s="102" t="s">
        <v>36</v>
      </c>
      <c r="E118" s="103">
        <f t="shared" si="378"/>
        <v>12674.400000000001</v>
      </c>
      <c r="F118" s="104">
        <f t="shared" si="379"/>
        <v>0</v>
      </c>
      <c r="G118" s="104">
        <f t="shared" si="379"/>
        <v>0</v>
      </c>
      <c r="H118" s="104">
        <f t="shared" si="380"/>
        <v>12674.400000000001</v>
      </c>
      <c r="I118" s="104">
        <f t="shared" si="381"/>
        <v>0</v>
      </c>
      <c r="J118" s="99">
        <f t="shared" si="382"/>
        <v>1735.4</v>
      </c>
      <c r="K118" s="105">
        <v>0</v>
      </c>
      <c r="L118" s="105">
        <v>0</v>
      </c>
      <c r="M118" s="105">
        <v>1735.4</v>
      </c>
      <c r="N118" s="105">
        <v>0</v>
      </c>
      <c r="O118" s="99">
        <f t="shared" si="383"/>
        <v>1383.3</v>
      </c>
      <c r="P118" s="105">
        <v>0</v>
      </c>
      <c r="Q118" s="105">
        <v>0</v>
      </c>
      <c r="R118" s="105">
        <v>1383.3</v>
      </c>
      <c r="S118" s="105">
        <v>0</v>
      </c>
      <c r="T118" s="99">
        <f t="shared" si="384"/>
        <v>889.9</v>
      </c>
      <c r="U118" s="105">
        <v>0</v>
      </c>
      <c r="V118" s="105">
        <v>0</v>
      </c>
      <c r="W118" s="105">
        <v>889.9</v>
      </c>
      <c r="X118" s="105">
        <v>0</v>
      </c>
      <c r="Y118" s="99">
        <f t="shared" si="385"/>
        <v>1267</v>
      </c>
      <c r="Z118" s="105">
        <v>0</v>
      </c>
      <c r="AA118" s="105">
        <v>0</v>
      </c>
      <c r="AB118" s="104">
        <v>1267</v>
      </c>
      <c r="AC118" s="105">
        <v>0</v>
      </c>
      <c r="AD118" s="99">
        <f t="shared" si="386"/>
        <v>1466.5</v>
      </c>
      <c r="AE118" s="105">
        <v>0</v>
      </c>
      <c r="AF118" s="105">
        <v>0</v>
      </c>
      <c r="AG118" s="128">
        <v>1466.5</v>
      </c>
      <c r="AH118" s="105">
        <v>0</v>
      </c>
      <c r="AI118" s="99">
        <f t="shared" si="387"/>
        <v>1240.3</v>
      </c>
      <c r="AJ118" s="105">
        <v>0</v>
      </c>
      <c r="AK118" s="105">
        <v>0</v>
      </c>
      <c r="AL118" s="128">
        <f>1520.3-280</f>
        <v>1240.3</v>
      </c>
      <c r="AM118" s="105">
        <v>0</v>
      </c>
      <c r="AN118" s="99">
        <f t="shared" si="391"/>
        <v>1497.2</v>
      </c>
      <c r="AO118" s="105">
        <v>0</v>
      </c>
      <c r="AP118" s="105">
        <v>0</v>
      </c>
      <c r="AQ118" s="151">
        <v>1497.2</v>
      </c>
      <c r="AR118" s="105">
        <v>0</v>
      </c>
      <c r="AS118" s="99">
        <f t="shared" si="392"/>
        <v>1566.1</v>
      </c>
      <c r="AT118" s="105">
        <v>0</v>
      </c>
      <c r="AU118" s="105">
        <v>0</v>
      </c>
      <c r="AV118" s="128">
        <v>1566.1</v>
      </c>
      <c r="AW118" s="105">
        <v>0</v>
      </c>
      <c r="AX118" s="99">
        <f t="shared" si="393"/>
        <v>1628.7</v>
      </c>
      <c r="AY118" s="105">
        <v>0</v>
      </c>
      <c r="AZ118" s="105">
        <v>0</v>
      </c>
      <c r="BA118" s="128">
        <v>1628.7</v>
      </c>
      <c r="BB118" s="105">
        <v>0</v>
      </c>
    </row>
    <row r="119" spans="1:54" ht="93.75" outlineLevel="3" x14ac:dyDescent="0.25">
      <c r="A119" s="126" t="s">
        <v>109</v>
      </c>
      <c r="B119" s="127" t="s">
        <v>469</v>
      </c>
      <c r="C119" s="106" t="s">
        <v>67</v>
      </c>
      <c r="D119" s="102" t="s">
        <v>36</v>
      </c>
      <c r="E119" s="103">
        <f t="shared" si="378"/>
        <v>11127.8</v>
      </c>
      <c r="F119" s="104">
        <f t="shared" si="379"/>
        <v>0</v>
      </c>
      <c r="G119" s="104">
        <f t="shared" si="379"/>
        <v>0</v>
      </c>
      <c r="H119" s="104">
        <f t="shared" si="380"/>
        <v>11127.8</v>
      </c>
      <c r="I119" s="104">
        <f t="shared" si="381"/>
        <v>0</v>
      </c>
      <c r="J119" s="99">
        <f t="shared" si="382"/>
        <v>626.4</v>
      </c>
      <c r="K119" s="105">
        <v>0</v>
      </c>
      <c r="L119" s="105">
        <v>0</v>
      </c>
      <c r="M119" s="105">
        <v>626.4</v>
      </c>
      <c r="N119" s="105">
        <v>0</v>
      </c>
      <c r="O119" s="99">
        <f t="shared" si="383"/>
        <v>721.6</v>
      </c>
      <c r="P119" s="105">
        <v>0</v>
      </c>
      <c r="Q119" s="105">
        <v>0</v>
      </c>
      <c r="R119" s="105">
        <f>672.7+48.9</f>
        <v>721.6</v>
      </c>
      <c r="S119" s="105">
        <v>0</v>
      </c>
      <c r="T119" s="99">
        <f t="shared" si="384"/>
        <v>917.4</v>
      </c>
      <c r="U119" s="105">
        <v>0</v>
      </c>
      <c r="V119" s="105">
        <v>0</v>
      </c>
      <c r="W119" s="105">
        <f>819.9+97.5</f>
        <v>917.4</v>
      </c>
      <c r="X119" s="105">
        <v>0</v>
      </c>
      <c r="Y119" s="99">
        <f t="shared" si="385"/>
        <v>1034.6000000000001</v>
      </c>
      <c r="Z119" s="105">
        <v>0</v>
      </c>
      <c r="AA119" s="105">
        <v>0</v>
      </c>
      <c r="AB119" s="104">
        <f>1035.9-1.3</f>
        <v>1034.6000000000001</v>
      </c>
      <c r="AC119" s="105">
        <v>0</v>
      </c>
      <c r="AD119" s="99">
        <f t="shared" si="386"/>
        <v>1005.9</v>
      </c>
      <c r="AE119" s="105">
        <v>0</v>
      </c>
      <c r="AF119" s="105">
        <v>0</v>
      </c>
      <c r="AG119" s="128">
        <v>1005.9</v>
      </c>
      <c r="AH119" s="105">
        <v>0</v>
      </c>
      <c r="AI119" s="99">
        <f t="shared" si="387"/>
        <v>1594.3000000000002</v>
      </c>
      <c r="AJ119" s="105">
        <v>0</v>
      </c>
      <c r="AK119" s="105">
        <v>0</v>
      </c>
      <c r="AL119" s="128">
        <f>1047.2+547.1</f>
        <v>1594.3000000000002</v>
      </c>
      <c r="AM119" s="105">
        <v>0</v>
      </c>
      <c r="AN119" s="99">
        <f t="shared" si="391"/>
        <v>1346.8999999999999</v>
      </c>
      <c r="AO119" s="105">
        <v>0</v>
      </c>
      <c r="AP119" s="105">
        <v>0</v>
      </c>
      <c r="AQ119" s="151">
        <f>1818.6-471.7</f>
        <v>1346.8999999999999</v>
      </c>
      <c r="AR119" s="105">
        <v>0</v>
      </c>
      <c r="AS119" s="99">
        <f t="shared" si="392"/>
        <v>1902.3</v>
      </c>
      <c r="AT119" s="105">
        <v>0</v>
      </c>
      <c r="AU119" s="105">
        <v>0</v>
      </c>
      <c r="AV119" s="128">
        <v>1902.3</v>
      </c>
      <c r="AW119" s="105">
        <v>0</v>
      </c>
      <c r="AX119" s="99">
        <f t="shared" si="393"/>
        <v>1978.4</v>
      </c>
      <c r="AY119" s="105">
        <v>0</v>
      </c>
      <c r="AZ119" s="105">
        <v>0</v>
      </c>
      <c r="BA119" s="128">
        <v>1978.4</v>
      </c>
      <c r="BB119" s="105">
        <v>0</v>
      </c>
    </row>
    <row r="120" spans="1:54" ht="93.75" outlineLevel="3" x14ac:dyDescent="0.25">
      <c r="A120" s="126" t="s">
        <v>110</v>
      </c>
      <c r="B120" s="127" t="s">
        <v>470</v>
      </c>
      <c r="C120" s="106" t="s">
        <v>67</v>
      </c>
      <c r="D120" s="102" t="s">
        <v>36</v>
      </c>
      <c r="E120" s="103">
        <f t="shared" si="378"/>
        <v>19785.7</v>
      </c>
      <c r="F120" s="104">
        <f t="shared" si="379"/>
        <v>0</v>
      </c>
      <c r="G120" s="104">
        <f t="shared" si="379"/>
        <v>0</v>
      </c>
      <c r="H120" s="104">
        <f t="shared" si="380"/>
        <v>19785.7</v>
      </c>
      <c r="I120" s="104">
        <f t="shared" si="381"/>
        <v>0</v>
      </c>
      <c r="J120" s="99">
        <f t="shared" si="382"/>
        <v>1108.8</v>
      </c>
      <c r="K120" s="105">
        <v>0</v>
      </c>
      <c r="L120" s="105">
        <v>0</v>
      </c>
      <c r="M120" s="105">
        <v>1108.8</v>
      </c>
      <c r="N120" s="105">
        <v>0</v>
      </c>
      <c r="O120" s="99">
        <f t="shared" si="383"/>
        <v>1219.7</v>
      </c>
      <c r="P120" s="105">
        <v>0</v>
      </c>
      <c r="Q120" s="105">
        <v>0</v>
      </c>
      <c r="R120" s="105">
        <v>1219.7</v>
      </c>
      <c r="S120" s="105">
        <v>0</v>
      </c>
      <c r="T120" s="99">
        <f t="shared" si="384"/>
        <v>1280.5999999999999</v>
      </c>
      <c r="U120" s="105">
        <v>0</v>
      </c>
      <c r="V120" s="105">
        <v>0</v>
      </c>
      <c r="W120" s="105">
        <v>1280.5999999999999</v>
      </c>
      <c r="X120" s="105">
        <v>0</v>
      </c>
      <c r="Y120" s="99">
        <f t="shared" si="385"/>
        <v>2133.1</v>
      </c>
      <c r="Z120" s="105">
        <v>0</v>
      </c>
      <c r="AA120" s="105">
        <v>0</v>
      </c>
      <c r="AB120" s="104">
        <f>2138.4-5.3</f>
        <v>2133.1</v>
      </c>
      <c r="AC120" s="105">
        <v>0</v>
      </c>
      <c r="AD120" s="99">
        <f t="shared" si="386"/>
        <v>2570.1999999999998</v>
      </c>
      <c r="AE120" s="105">
        <v>0</v>
      </c>
      <c r="AF120" s="105">
        <v>0</v>
      </c>
      <c r="AG120" s="128">
        <v>2570.1999999999998</v>
      </c>
      <c r="AH120" s="105">
        <v>0</v>
      </c>
      <c r="AI120" s="99">
        <f t="shared" si="387"/>
        <v>1846.9</v>
      </c>
      <c r="AJ120" s="105">
        <v>0</v>
      </c>
      <c r="AK120" s="105">
        <v>0</v>
      </c>
      <c r="AL120" s="128">
        <f>2596.5-749.6</f>
        <v>1846.9</v>
      </c>
      <c r="AM120" s="105">
        <v>0</v>
      </c>
      <c r="AN120" s="99">
        <f t="shared" si="391"/>
        <v>2159</v>
      </c>
      <c r="AO120" s="105">
        <v>0</v>
      </c>
      <c r="AP120" s="105">
        <v>0</v>
      </c>
      <c r="AQ120" s="151">
        <f>3499.5-1340.5</f>
        <v>2159</v>
      </c>
      <c r="AR120" s="105">
        <v>0</v>
      </c>
      <c r="AS120" s="99">
        <f t="shared" si="392"/>
        <v>3660.5</v>
      </c>
      <c r="AT120" s="105">
        <v>0</v>
      </c>
      <c r="AU120" s="105">
        <v>0</v>
      </c>
      <c r="AV120" s="128">
        <v>3660.5</v>
      </c>
      <c r="AW120" s="105">
        <v>0</v>
      </c>
      <c r="AX120" s="99">
        <f t="shared" si="393"/>
        <v>3806.9</v>
      </c>
      <c r="AY120" s="105">
        <v>0</v>
      </c>
      <c r="AZ120" s="105">
        <v>0</v>
      </c>
      <c r="BA120" s="128">
        <v>3806.9</v>
      </c>
      <c r="BB120" s="105">
        <v>0</v>
      </c>
    </row>
    <row r="121" spans="1:54" ht="93.75" outlineLevel="3" x14ac:dyDescent="0.25">
      <c r="A121" s="126" t="s">
        <v>111</v>
      </c>
      <c r="B121" s="127" t="s">
        <v>471</v>
      </c>
      <c r="C121" s="106" t="s">
        <v>67</v>
      </c>
      <c r="D121" s="102" t="s">
        <v>36</v>
      </c>
      <c r="E121" s="103">
        <f>SUM(F121:I121)</f>
        <v>11832.099999999999</v>
      </c>
      <c r="F121" s="104">
        <f t="shared" si="379"/>
        <v>0</v>
      </c>
      <c r="G121" s="104">
        <f t="shared" si="379"/>
        <v>0</v>
      </c>
      <c r="H121" s="104">
        <f t="shared" si="380"/>
        <v>11832.099999999999</v>
      </c>
      <c r="I121" s="104">
        <f t="shared" si="381"/>
        <v>0</v>
      </c>
      <c r="J121" s="99">
        <f t="shared" si="382"/>
        <v>521.70000000000005</v>
      </c>
      <c r="K121" s="105">
        <v>0</v>
      </c>
      <c r="L121" s="105">
        <v>0</v>
      </c>
      <c r="M121" s="105">
        <v>521.70000000000005</v>
      </c>
      <c r="N121" s="105">
        <v>0</v>
      </c>
      <c r="O121" s="99">
        <f t="shared" si="383"/>
        <v>469.70000000000016</v>
      </c>
      <c r="P121" s="105">
        <v>0</v>
      </c>
      <c r="Q121" s="105">
        <v>0</v>
      </c>
      <c r="R121" s="105">
        <f>1269.4+141.7-941.4</f>
        <v>469.70000000000016</v>
      </c>
      <c r="S121" s="105">
        <v>0</v>
      </c>
      <c r="T121" s="99">
        <f t="shared" si="384"/>
        <v>720.59999999999991</v>
      </c>
      <c r="U121" s="105">
        <v>0</v>
      </c>
      <c r="V121" s="105">
        <v>0</v>
      </c>
      <c r="W121" s="105">
        <f>855.8-135.2</f>
        <v>720.59999999999991</v>
      </c>
      <c r="X121" s="105">
        <v>0</v>
      </c>
      <c r="Y121" s="99">
        <f t="shared" si="385"/>
        <v>976.2</v>
      </c>
      <c r="Z121" s="105">
        <v>0</v>
      </c>
      <c r="AA121" s="105">
        <v>0</v>
      </c>
      <c r="AB121" s="104">
        <f>978.2-2</f>
        <v>976.2</v>
      </c>
      <c r="AC121" s="105">
        <v>0</v>
      </c>
      <c r="AD121" s="99">
        <f t="shared" si="386"/>
        <v>1655.2</v>
      </c>
      <c r="AE121" s="105">
        <v>0</v>
      </c>
      <c r="AF121" s="105">
        <v>0</v>
      </c>
      <c r="AG121" s="128">
        <v>1655.2</v>
      </c>
      <c r="AH121" s="105">
        <v>0</v>
      </c>
      <c r="AI121" s="99">
        <f t="shared" si="387"/>
        <v>1238.3</v>
      </c>
      <c r="AJ121" s="105">
        <v>0</v>
      </c>
      <c r="AK121" s="105">
        <v>0</v>
      </c>
      <c r="AL121" s="128">
        <f>1520.8-282.5</f>
        <v>1238.3</v>
      </c>
      <c r="AM121" s="105">
        <v>0</v>
      </c>
      <c r="AN121" s="99">
        <f t="shared" si="391"/>
        <v>1808.9</v>
      </c>
      <c r="AO121" s="105">
        <v>0</v>
      </c>
      <c r="AP121" s="105">
        <v>0</v>
      </c>
      <c r="AQ121" s="151">
        <f>2081.5-272.6</f>
        <v>1808.9</v>
      </c>
      <c r="AR121" s="105">
        <v>0</v>
      </c>
      <c r="AS121" s="99">
        <f t="shared" si="392"/>
        <v>2177.1999999999998</v>
      </c>
      <c r="AT121" s="105">
        <v>0</v>
      </c>
      <c r="AU121" s="105">
        <v>0</v>
      </c>
      <c r="AV121" s="128">
        <v>2177.1999999999998</v>
      </c>
      <c r="AW121" s="105">
        <v>0</v>
      </c>
      <c r="AX121" s="99">
        <f t="shared" si="393"/>
        <v>2264.3000000000002</v>
      </c>
      <c r="AY121" s="105">
        <v>0</v>
      </c>
      <c r="AZ121" s="105">
        <v>0</v>
      </c>
      <c r="BA121" s="128">
        <v>2264.3000000000002</v>
      </c>
      <c r="BB121" s="105">
        <v>0</v>
      </c>
    </row>
    <row r="122" spans="1:54" ht="93.75" outlineLevel="3" x14ac:dyDescent="0.25">
      <c r="A122" s="126" t="s">
        <v>112</v>
      </c>
      <c r="B122" s="127" t="s">
        <v>472</v>
      </c>
      <c r="C122" s="106" t="s">
        <v>67</v>
      </c>
      <c r="D122" s="102" t="s">
        <v>36</v>
      </c>
      <c r="E122" s="103">
        <f t="shared" si="378"/>
        <v>2580.1999999999998</v>
      </c>
      <c r="F122" s="104">
        <f t="shared" si="379"/>
        <v>0</v>
      </c>
      <c r="G122" s="104">
        <f t="shared" si="379"/>
        <v>0</v>
      </c>
      <c r="H122" s="104">
        <f t="shared" si="380"/>
        <v>2580.1999999999998</v>
      </c>
      <c r="I122" s="104">
        <f t="shared" si="381"/>
        <v>0</v>
      </c>
      <c r="J122" s="99">
        <f t="shared" si="382"/>
        <v>307.2</v>
      </c>
      <c r="K122" s="105">
        <v>0</v>
      </c>
      <c r="L122" s="105">
        <v>0</v>
      </c>
      <c r="M122" s="105">
        <v>307.2</v>
      </c>
      <c r="N122" s="105">
        <v>0</v>
      </c>
      <c r="O122" s="99">
        <f t="shared" si="383"/>
        <v>289.3</v>
      </c>
      <c r="P122" s="105">
        <v>0</v>
      </c>
      <c r="Q122" s="105">
        <v>0</v>
      </c>
      <c r="R122" s="105">
        <f>289.3</f>
        <v>289.3</v>
      </c>
      <c r="S122" s="105">
        <v>0</v>
      </c>
      <c r="T122" s="99">
        <f t="shared" si="384"/>
        <v>283.2</v>
      </c>
      <c r="U122" s="105">
        <v>0</v>
      </c>
      <c r="V122" s="105">
        <v>0</v>
      </c>
      <c r="W122" s="105">
        <v>283.2</v>
      </c>
      <c r="X122" s="105">
        <v>0</v>
      </c>
      <c r="Y122" s="99">
        <f t="shared" si="385"/>
        <v>235.3</v>
      </c>
      <c r="Z122" s="105">
        <v>0</v>
      </c>
      <c r="AA122" s="105">
        <v>0</v>
      </c>
      <c r="AB122" s="104">
        <f>238.3-3</f>
        <v>235.3</v>
      </c>
      <c r="AC122" s="105">
        <v>0</v>
      </c>
      <c r="AD122" s="99">
        <f t="shared" si="386"/>
        <v>305.7</v>
      </c>
      <c r="AE122" s="105">
        <v>0</v>
      </c>
      <c r="AF122" s="105">
        <v>0</v>
      </c>
      <c r="AG122" s="128">
        <f>271.2+34.5</f>
        <v>305.7</v>
      </c>
      <c r="AH122" s="105">
        <v>0</v>
      </c>
      <c r="AI122" s="99">
        <f t="shared" si="387"/>
        <v>265.8</v>
      </c>
      <c r="AJ122" s="105">
        <v>0</v>
      </c>
      <c r="AK122" s="105">
        <v>0</v>
      </c>
      <c r="AL122" s="128">
        <v>265.8</v>
      </c>
      <c r="AM122" s="105">
        <v>0</v>
      </c>
      <c r="AN122" s="99">
        <f t="shared" si="391"/>
        <v>285.2</v>
      </c>
      <c r="AO122" s="105">
        <v>0</v>
      </c>
      <c r="AP122" s="105">
        <v>0</v>
      </c>
      <c r="AQ122" s="151">
        <v>285.2</v>
      </c>
      <c r="AR122" s="105">
        <v>0</v>
      </c>
      <c r="AS122" s="99">
        <f t="shared" si="392"/>
        <v>298.3</v>
      </c>
      <c r="AT122" s="105">
        <v>0</v>
      </c>
      <c r="AU122" s="105">
        <v>0</v>
      </c>
      <c r="AV122" s="128">
        <v>298.3</v>
      </c>
      <c r="AW122" s="105">
        <v>0</v>
      </c>
      <c r="AX122" s="99">
        <f t="shared" si="393"/>
        <v>310.2</v>
      </c>
      <c r="AY122" s="105">
        <v>0</v>
      </c>
      <c r="AZ122" s="105">
        <v>0</v>
      </c>
      <c r="BA122" s="128">
        <v>310.2</v>
      </c>
      <c r="BB122" s="105">
        <v>0</v>
      </c>
    </row>
    <row r="123" spans="1:54" ht="93.75" outlineLevel="3" x14ac:dyDescent="0.25">
      <c r="A123" s="126" t="s">
        <v>113</v>
      </c>
      <c r="B123" s="127" t="s">
        <v>473</v>
      </c>
      <c r="C123" s="106" t="s">
        <v>67</v>
      </c>
      <c r="D123" s="102" t="s">
        <v>36</v>
      </c>
      <c r="E123" s="103">
        <f t="shared" si="378"/>
        <v>14854.9</v>
      </c>
      <c r="F123" s="104">
        <f t="shared" si="379"/>
        <v>0</v>
      </c>
      <c r="G123" s="104">
        <f t="shared" si="379"/>
        <v>0</v>
      </c>
      <c r="H123" s="104">
        <f t="shared" si="380"/>
        <v>14854.9</v>
      </c>
      <c r="I123" s="104">
        <f t="shared" si="381"/>
        <v>0</v>
      </c>
      <c r="J123" s="99">
        <f t="shared" si="382"/>
        <v>1054.2</v>
      </c>
      <c r="K123" s="105">
        <v>0</v>
      </c>
      <c r="L123" s="105">
        <v>0</v>
      </c>
      <c r="M123" s="105">
        <v>1054.2</v>
      </c>
      <c r="N123" s="105">
        <v>0</v>
      </c>
      <c r="O123" s="99">
        <f t="shared" si="383"/>
        <v>1148.5</v>
      </c>
      <c r="P123" s="105">
        <v>0</v>
      </c>
      <c r="Q123" s="105">
        <v>0</v>
      </c>
      <c r="R123" s="105">
        <f>937.5+122.1+88.9</f>
        <v>1148.5</v>
      </c>
      <c r="S123" s="105">
        <v>0</v>
      </c>
      <c r="T123" s="99">
        <f t="shared" si="384"/>
        <v>1189.2</v>
      </c>
      <c r="U123" s="105">
        <v>0</v>
      </c>
      <c r="V123" s="105">
        <v>0</v>
      </c>
      <c r="W123" s="105">
        <v>1189.2</v>
      </c>
      <c r="X123" s="105">
        <v>0</v>
      </c>
      <c r="Y123" s="99">
        <f t="shared" si="385"/>
        <v>1168.2</v>
      </c>
      <c r="Z123" s="105">
        <v>0</v>
      </c>
      <c r="AA123" s="105">
        <v>0</v>
      </c>
      <c r="AB123" s="104">
        <v>1168.2</v>
      </c>
      <c r="AC123" s="105">
        <v>0</v>
      </c>
      <c r="AD123" s="99">
        <f t="shared" si="386"/>
        <v>1598.7</v>
      </c>
      <c r="AE123" s="105">
        <v>0</v>
      </c>
      <c r="AF123" s="105">
        <v>0</v>
      </c>
      <c r="AG123" s="128">
        <v>1598.7</v>
      </c>
      <c r="AH123" s="105">
        <v>0</v>
      </c>
      <c r="AI123" s="99">
        <f t="shared" si="387"/>
        <v>2008.0000000000002</v>
      </c>
      <c r="AJ123" s="105">
        <v>0</v>
      </c>
      <c r="AK123" s="105">
        <v>0</v>
      </c>
      <c r="AL123" s="128">
        <f>1504.7+667.1-163.8</f>
        <v>2008.0000000000002</v>
      </c>
      <c r="AM123" s="105">
        <v>0</v>
      </c>
      <c r="AN123" s="99">
        <f t="shared" si="391"/>
        <v>1507.6999999999998</v>
      </c>
      <c r="AO123" s="105">
        <v>0</v>
      </c>
      <c r="AP123" s="105">
        <v>0</v>
      </c>
      <c r="AQ123" s="151">
        <f>2427.7-920</f>
        <v>1507.6999999999998</v>
      </c>
      <c r="AR123" s="105">
        <v>0</v>
      </c>
      <c r="AS123" s="99">
        <f t="shared" si="392"/>
        <v>2539.4</v>
      </c>
      <c r="AT123" s="105">
        <v>0</v>
      </c>
      <c r="AU123" s="105">
        <v>0</v>
      </c>
      <c r="AV123" s="128">
        <v>2539.4</v>
      </c>
      <c r="AW123" s="105">
        <v>0</v>
      </c>
      <c r="AX123" s="99">
        <f t="shared" si="393"/>
        <v>2641</v>
      </c>
      <c r="AY123" s="105">
        <v>0</v>
      </c>
      <c r="AZ123" s="105">
        <v>0</v>
      </c>
      <c r="BA123" s="128">
        <v>2641</v>
      </c>
      <c r="BB123" s="105">
        <v>0</v>
      </c>
    </row>
    <row r="124" spans="1:54" ht="93.75" outlineLevel="3" x14ac:dyDescent="0.25">
      <c r="A124" s="126" t="s">
        <v>114</v>
      </c>
      <c r="B124" s="127" t="s">
        <v>474</v>
      </c>
      <c r="C124" s="106" t="s">
        <v>67</v>
      </c>
      <c r="D124" s="102" t="s">
        <v>36</v>
      </c>
      <c r="E124" s="103">
        <f t="shared" si="378"/>
        <v>19214.399999999998</v>
      </c>
      <c r="F124" s="104">
        <f t="shared" si="379"/>
        <v>0</v>
      </c>
      <c r="G124" s="104">
        <f t="shared" si="379"/>
        <v>0</v>
      </c>
      <c r="H124" s="104">
        <f t="shared" si="380"/>
        <v>19214.399999999998</v>
      </c>
      <c r="I124" s="104">
        <f t="shared" si="381"/>
        <v>0</v>
      </c>
      <c r="J124" s="99">
        <f t="shared" si="382"/>
        <v>935.2</v>
      </c>
      <c r="K124" s="105">
        <v>0</v>
      </c>
      <c r="L124" s="105">
        <v>0</v>
      </c>
      <c r="M124" s="105">
        <v>935.2</v>
      </c>
      <c r="N124" s="105">
        <v>0</v>
      </c>
      <c r="O124" s="99">
        <f t="shared" si="383"/>
        <v>1015.9000000000001</v>
      </c>
      <c r="P124" s="105">
        <v>0</v>
      </c>
      <c r="Q124" s="105">
        <v>0</v>
      </c>
      <c r="R124" s="105">
        <f>877.1+138.8</f>
        <v>1015.9000000000001</v>
      </c>
      <c r="S124" s="105">
        <v>0</v>
      </c>
      <c r="T124" s="99">
        <f t="shared" si="384"/>
        <v>1054.3</v>
      </c>
      <c r="U124" s="105">
        <v>0</v>
      </c>
      <c r="V124" s="105">
        <v>0</v>
      </c>
      <c r="W124" s="105">
        <f>876.3+178</f>
        <v>1054.3</v>
      </c>
      <c r="X124" s="105">
        <v>0</v>
      </c>
      <c r="Y124" s="99">
        <f t="shared" si="385"/>
        <v>1142</v>
      </c>
      <c r="Z124" s="105">
        <v>0</v>
      </c>
      <c r="AA124" s="105">
        <v>0</v>
      </c>
      <c r="AB124" s="104">
        <f>1044+98</f>
        <v>1142</v>
      </c>
      <c r="AC124" s="105">
        <v>0</v>
      </c>
      <c r="AD124" s="99">
        <f t="shared" si="386"/>
        <v>2919</v>
      </c>
      <c r="AE124" s="105">
        <v>0</v>
      </c>
      <c r="AF124" s="105">
        <v>0</v>
      </c>
      <c r="AG124" s="128">
        <f>1189.9+1729.1</f>
        <v>2919</v>
      </c>
      <c r="AH124" s="105">
        <v>0</v>
      </c>
      <c r="AI124" s="99">
        <f t="shared" si="387"/>
        <v>2913.1</v>
      </c>
      <c r="AJ124" s="105">
        <v>0</v>
      </c>
      <c r="AK124" s="105">
        <v>0</v>
      </c>
      <c r="AL124" s="128">
        <v>2913.1</v>
      </c>
      <c r="AM124" s="105">
        <v>0</v>
      </c>
      <c r="AN124" s="99">
        <f t="shared" si="391"/>
        <v>2946.8</v>
      </c>
      <c r="AO124" s="105">
        <v>0</v>
      </c>
      <c r="AP124" s="105">
        <v>0</v>
      </c>
      <c r="AQ124" s="151">
        <v>2946.8</v>
      </c>
      <c r="AR124" s="105">
        <v>0</v>
      </c>
      <c r="AS124" s="99">
        <f t="shared" si="392"/>
        <v>3082.4</v>
      </c>
      <c r="AT124" s="105">
        <v>0</v>
      </c>
      <c r="AU124" s="105">
        <v>0</v>
      </c>
      <c r="AV124" s="128">
        <v>3082.4</v>
      </c>
      <c r="AW124" s="105">
        <v>0</v>
      </c>
      <c r="AX124" s="99">
        <f t="shared" si="393"/>
        <v>3205.7</v>
      </c>
      <c r="AY124" s="105">
        <v>0</v>
      </c>
      <c r="AZ124" s="105">
        <v>0</v>
      </c>
      <c r="BA124" s="128">
        <v>3205.7</v>
      </c>
      <c r="BB124" s="105">
        <v>0</v>
      </c>
    </row>
    <row r="125" spans="1:54" ht="93.75" outlineLevel="3" x14ac:dyDescent="0.25">
      <c r="A125" s="126" t="s">
        <v>115</v>
      </c>
      <c r="B125" s="127" t="s">
        <v>475</v>
      </c>
      <c r="C125" s="106" t="s">
        <v>67</v>
      </c>
      <c r="D125" s="102" t="s">
        <v>36</v>
      </c>
      <c r="E125" s="103">
        <f t="shared" si="378"/>
        <v>19620.900000000001</v>
      </c>
      <c r="F125" s="104">
        <f t="shared" si="379"/>
        <v>0</v>
      </c>
      <c r="G125" s="104">
        <f t="shared" si="379"/>
        <v>0</v>
      </c>
      <c r="H125" s="104">
        <f t="shared" si="380"/>
        <v>19620.900000000001</v>
      </c>
      <c r="I125" s="104">
        <f t="shared" si="381"/>
        <v>0</v>
      </c>
      <c r="J125" s="99">
        <f t="shared" si="382"/>
        <v>1372.1</v>
      </c>
      <c r="K125" s="105">
        <v>0</v>
      </c>
      <c r="L125" s="105">
        <v>0</v>
      </c>
      <c r="M125" s="105">
        <v>1372.1</v>
      </c>
      <c r="N125" s="105">
        <v>0</v>
      </c>
      <c r="O125" s="99">
        <f t="shared" si="383"/>
        <v>1385.6</v>
      </c>
      <c r="P125" s="105">
        <v>0</v>
      </c>
      <c r="Q125" s="105">
        <v>0</v>
      </c>
      <c r="R125" s="105">
        <v>1385.6</v>
      </c>
      <c r="S125" s="105">
        <v>0</v>
      </c>
      <c r="T125" s="99">
        <f t="shared" si="384"/>
        <v>1597.4</v>
      </c>
      <c r="U125" s="105">
        <v>0</v>
      </c>
      <c r="V125" s="105">
        <v>0</v>
      </c>
      <c r="W125" s="105">
        <v>1597.4</v>
      </c>
      <c r="X125" s="105">
        <v>0</v>
      </c>
      <c r="Y125" s="99">
        <f t="shared" si="385"/>
        <v>1757.1000000000001</v>
      </c>
      <c r="Z125" s="105">
        <v>0</v>
      </c>
      <c r="AA125" s="105">
        <v>0</v>
      </c>
      <c r="AB125" s="104">
        <f>1760.4-3.3</f>
        <v>1757.1000000000001</v>
      </c>
      <c r="AC125" s="105">
        <v>0</v>
      </c>
      <c r="AD125" s="99">
        <f t="shared" si="386"/>
        <v>2088.6999999999998</v>
      </c>
      <c r="AE125" s="105">
        <v>0</v>
      </c>
      <c r="AF125" s="105">
        <v>0</v>
      </c>
      <c r="AG125" s="128">
        <v>2088.6999999999998</v>
      </c>
      <c r="AH125" s="105">
        <v>0</v>
      </c>
      <c r="AI125" s="99">
        <f t="shared" si="387"/>
        <v>2213.1999999999998</v>
      </c>
      <c r="AJ125" s="105">
        <v>0</v>
      </c>
      <c r="AK125" s="105">
        <v>0</v>
      </c>
      <c r="AL125" s="128">
        <f>1817.2+396</f>
        <v>2213.1999999999998</v>
      </c>
      <c r="AM125" s="105">
        <v>0</v>
      </c>
      <c r="AN125" s="99">
        <f t="shared" si="391"/>
        <v>2937.9</v>
      </c>
      <c r="AO125" s="105">
        <v>0</v>
      </c>
      <c r="AP125" s="105">
        <v>0</v>
      </c>
      <c r="AQ125" s="151">
        <v>2937.9</v>
      </c>
      <c r="AR125" s="105">
        <v>0</v>
      </c>
      <c r="AS125" s="99">
        <f t="shared" si="392"/>
        <v>3073</v>
      </c>
      <c r="AT125" s="105">
        <v>0</v>
      </c>
      <c r="AU125" s="105">
        <v>0</v>
      </c>
      <c r="AV125" s="128">
        <v>3073</v>
      </c>
      <c r="AW125" s="105">
        <v>0</v>
      </c>
      <c r="AX125" s="99">
        <f t="shared" si="393"/>
        <v>3195.9</v>
      </c>
      <c r="AY125" s="105">
        <v>0</v>
      </c>
      <c r="AZ125" s="105">
        <v>0</v>
      </c>
      <c r="BA125" s="128">
        <v>3195.9</v>
      </c>
      <c r="BB125" s="105">
        <v>0</v>
      </c>
    </row>
    <row r="126" spans="1:54" ht="93.75" outlineLevel="3" x14ac:dyDescent="0.25">
      <c r="A126" s="126" t="s">
        <v>116</v>
      </c>
      <c r="B126" s="127" t="s">
        <v>476</v>
      </c>
      <c r="C126" s="106" t="s">
        <v>67</v>
      </c>
      <c r="D126" s="102" t="s">
        <v>36</v>
      </c>
      <c r="E126" s="103">
        <f t="shared" ref="E126" si="394">SUM(F126:I126)</f>
        <v>12289.5</v>
      </c>
      <c r="F126" s="104">
        <f t="shared" ref="F126" si="395">K126+P126+U126</f>
        <v>0</v>
      </c>
      <c r="G126" s="104">
        <f t="shared" ref="G126" si="396">L126+Q126+V126</f>
        <v>0</v>
      </c>
      <c r="H126" s="104">
        <f t="shared" ref="H126" si="397">M126+R126+W126+AB126+AG126+AL126+AQ126+AV126+BA126</f>
        <v>12289.5</v>
      </c>
      <c r="I126" s="104">
        <f t="shared" ref="I126" si="398">N126+S126+X126</f>
        <v>0</v>
      </c>
      <c r="J126" s="99">
        <f t="shared" ref="J126" si="399">SUM(K126:N126)</f>
        <v>0</v>
      </c>
      <c r="K126" s="105">
        <v>0</v>
      </c>
      <c r="L126" s="105">
        <v>0</v>
      </c>
      <c r="M126" s="105">
        <v>0</v>
      </c>
      <c r="N126" s="105">
        <v>0</v>
      </c>
      <c r="O126" s="99">
        <f t="shared" ref="O126" si="400">SUM(P126:S126)</f>
        <v>0</v>
      </c>
      <c r="P126" s="105">
        <v>0</v>
      </c>
      <c r="Q126" s="105">
        <v>0</v>
      </c>
      <c r="R126" s="105">
        <v>0</v>
      </c>
      <c r="S126" s="105">
        <v>0</v>
      </c>
      <c r="T126" s="99">
        <f t="shared" ref="T126" si="401">SUM(U126:X126)</f>
        <v>0</v>
      </c>
      <c r="U126" s="105">
        <v>0</v>
      </c>
      <c r="V126" s="105">
        <v>0</v>
      </c>
      <c r="W126" s="105">
        <v>0</v>
      </c>
      <c r="X126" s="105">
        <v>0</v>
      </c>
      <c r="Y126" s="99">
        <f t="shared" ref="Y126" si="402">SUM(Z126:AC126)</f>
        <v>0</v>
      </c>
      <c r="Z126" s="105">
        <v>0</v>
      </c>
      <c r="AA126" s="105">
        <v>0</v>
      </c>
      <c r="AB126" s="104">
        <v>0</v>
      </c>
      <c r="AC126" s="105">
        <v>0</v>
      </c>
      <c r="AD126" s="99">
        <f t="shared" ref="AD126" si="403">SUM(AE126:AH126)</f>
        <v>1521.6</v>
      </c>
      <c r="AE126" s="105">
        <v>0</v>
      </c>
      <c r="AF126" s="105">
        <v>0</v>
      </c>
      <c r="AG126" s="128">
        <v>1521.6</v>
      </c>
      <c r="AH126" s="105">
        <v>0</v>
      </c>
      <c r="AI126" s="99">
        <f t="shared" ref="AI126" si="404">SUM(AJ126:AM126)</f>
        <v>1808.9</v>
      </c>
      <c r="AJ126" s="105">
        <v>0</v>
      </c>
      <c r="AK126" s="105">
        <v>0</v>
      </c>
      <c r="AL126" s="128">
        <v>1808.9</v>
      </c>
      <c r="AM126" s="105">
        <v>0</v>
      </c>
      <c r="AN126" s="99">
        <f t="shared" ref="AN126" si="405">SUM(AO126:AR126)</f>
        <v>2858.8</v>
      </c>
      <c r="AO126" s="105">
        <v>0</v>
      </c>
      <c r="AP126" s="105">
        <v>0</v>
      </c>
      <c r="AQ126" s="151">
        <v>2858.8</v>
      </c>
      <c r="AR126" s="105">
        <v>0</v>
      </c>
      <c r="AS126" s="99">
        <f t="shared" ref="AS126" si="406">SUM(AT126:AW126)</f>
        <v>2990.3</v>
      </c>
      <c r="AT126" s="105">
        <v>0</v>
      </c>
      <c r="AU126" s="105">
        <v>0</v>
      </c>
      <c r="AV126" s="128">
        <v>2990.3</v>
      </c>
      <c r="AW126" s="105">
        <v>0</v>
      </c>
      <c r="AX126" s="99">
        <f t="shared" ref="AX126" si="407">SUM(AY126:BB126)</f>
        <v>3109.9</v>
      </c>
      <c r="AY126" s="105">
        <v>0</v>
      </c>
      <c r="AZ126" s="105">
        <v>0</v>
      </c>
      <c r="BA126" s="128">
        <v>3109.9</v>
      </c>
      <c r="BB126" s="105">
        <v>0</v>
      </c>
    </row>
    <row r="127" spans="1:54" ht="93.75" outlineLevel="3" x14ac:dyDescent="0.25">
      <c r="A127" s="126" t="s">
        <v>117</v>
      </c>
      <c r="B127" s="127" t="s">
        <v>477</v>
      </c>
      <c r="C127" s="106" t="s">
        <v>67</v>
      </c>
      <c r="D127" s="102" t="s">
        <v>36</v>
      </c>
      <c r="E127" s="103">
        <f t="shared" si="378"/>
        <v>18253.300000000003</v>
      </c>
      <c r="F127" s="104">
        <f t="shared" si="379"/>
        <v>0</v>
      </c>
      <c r="G127" s="104">
        <f t="shared" si="379"/>
        <v>0</v>
      </c>
      <c r="H127" s="104">
        <f t="shared" si="380"/>
        <v>18253.300000000003</v>
      </c>
      <c r="I127" s="104">
        <f t="shared" si="381"/>
        <v>0</v>
      </c>
      <c r="J127" s="99">
        <f t="shared" si="382"/>
        <v>2226.5</v>
      </c>
      <c r="K127" s="105">
        <v>0</v>
      </c>
      <c r="L127" s="105">
        <v>0</v>
      </c>
      <c r="M127" s="105">
        <v>2226.5</v>
      </c>
      <c r="N127" s="105">
        <v>0</v>
      </c>
      <c r="O127" s="99">
        <f t="shared" si="383"/>
        <v>1882.7</v>
      </c>
      <c r="P127" s="105">
        <v>0</v>
      </c>
      <c r="Q127" s="105">
        <v>0</v>
      </c>
      <c r="R127" s="105">
        <f>1882.7</f>
        <v>1882.7</v>
      </c>
      <c r="S127" s="105">
        <v>0</v>
      </c>
      <c r="T127" s="99">
        <f t="shared" si="384"/>
        <v>1565.9</v>
      </c>
      <c r="U127" s="105">
        <v>0</v>
      </c>
      <c r="V127" s="105">
        <v>0</v>
      </c>
      <c r="W127" s="105">
        <v>1565.9</v>
      </c>
      <c r="X127" s="105">
        <v>0</v>
      </c>
      <c r="Y127" s="99">
        <f t="shared" si="385"/>
        <v>1783.1</v>
      </c>
      <c r="Z127" s="105">
        <v>0</v>
      </c>
      <c r="AA127" s="105">
        <v>0</v>
      </c>
      <c r="AB127" s="104">
        <f>1618.6+164.5</f>
        <v>1783.1</v>
      </c>
      <c r="AC127" s="105">
        <v>0</v>
      </c>
      <c r="AD127" s="99">
        <f t="shared" si="386"/>
        <v>2552.1999999999998</v>
      </c>
      <c r="AE127" s="105">
        <v>0</v>
      </c>
      <c r="AF127" s="105">
        <v>0</v>
      </c>
      <c r="AG127" s="128">
        <v>2552.1999999999998</v>
      </c>
      <c r="AH127" s="105">
        <v>0</v>
      </c>
      <c r="AI127" s="99">
        <f t="shared" si="387"/>
        <v>1545.6</v>
      </c>
      <c r="AJ127" s="105">
        <v>0</v>
      </c>
      <c r="AK127" s="105">
        <v>0</v>
      </c>
      <c r="AL127" s="128">
        <f>2001.5-455.9</f>
        <v>1545.6</v>
      </c>
      <c r="AM127" s="105">
        <v>0</v>
      </c>
      <c r="AN127" s="99">
        <f t="shared" si="391"/>
        <v>2137.1</v>
      </c>
      <c r="AO127" s="105">
        <v>0</v>
      </c>
      <c r="AP127" s="105">
        <v>0</v>
      </c>
      <c r="AQ127" s="151">
        <v>2137.1</v>
      </c>
      <c r="AR127" s="105">
        <v>0</v>
      </c>
      <c r="AS127" s="99">
        <f t="shared" si="392"/>
        <v>2235.4</v>
      </c>
      <c r="AT127" s="105">
        <v>0</v>
      </c>
      <c r="AU127" s="105">
        <v>0</v>
      </c>
      <c r="AV127" s="128">
        <v>2235.4</v>
      </c>
      <c r="AW127" s="105">
        <v>0</v>
      </c>
      <c r="AX127" s="99">
        <f t="shared" si="393"/>
        <v>2324.8000000000002</v>
      </c>
      <c r="AY127" s="105">
        <v>0</v>
      </c>
      <c r="AZ127" s="105">
        <v>0</v>
      </c>
      <c r="BA127" s="128">
        <v>2324.8000000000002</v>
      </c>
      <c r="BB127" s="105">
        <v>0</v>
      </c>
    </row>
    <row r="128" spans="1:54" ht="93.75" outlineLevel="3" x14ac:dyDescent="0.25">
      <c r="A128" s="126" t="s">
        <v>118</v>
      </c>
      <c r="B128" s="127" t="s">
        <v>478</v>
      </c>
      <c r="C128" s="106" t="s">
        <v>67</v>
      </c>
      <c r="D128" s="102" t="s">
        <v>36</v>
      </c>
      <c r="E128" s="103">
        <f t="shared" si="378"/>
        <v>7088.9</v>
      </c>
      <c r="F128" s="104">
        <f t="shared" si="379"/>
        <v>0</v>
      </c>
      <c r="G128" s="104">
        <f t="shared" si="379"/>
        <v>0</v>
      </c>
      <c r="H128" s="104">
        <f t="shared" si="380"/>
        <v>7088.9</v>
      </c>
      <c r="I128" s="104">
        <f t="shared" si="381"/>
        <v>0</v>
      </c>
      <c r="J128" s="99">
        <f t="shared" si="382"/>
        <v>366</v>
      </c>
      <c r="K128" s="105">
        <v>0</v>
      </c>
      <c r="L128" s="105">
        <v>0</v>
      </c>
      <c r="M128" s="105">
        <v>366</v>
      </c>
      <c r="N128" s="105">
        <v>0</v>
      </c>
      <c r="O128" s="99">
        <f t="shared" si="383"/>
        <v>408.6</v>
      </c>
      <c r="P128" s="105">
        <v>0</v>
      </c>
      <c r="Q128" s="105">
        <v>0</v>
      </c>
      <c r="R128" s="105">
        <v>408.6</v>
      </c>
      <c r="S128" s="105">
        <v>0</v>
      </c>
      <c r="T128" s="99">
        <f t="shared" si="384"/>
        <v>380</v>
      </c>
      <c r="U128" s="105">
        <v>0</v>
      </c>
      <c r="V128" s="105">
        <v>0</v>
      </c>
      <c r="W128" s="105">
        <f>2242.6-1862.6</f>
        <v>380</v>
      </c>
      <c r="X128" s="105">
        <v>0</v>
      </c>
      <c r="Y128" s="99">
        <f t="shared" si="385"/>
        <v>649.6</v>
      </c>
      <c r="Z128" s="105">
        <v>0</v>
      </c>
      <c r="AA128" s="105">
        <v>0</v>
      </c>
      <c r="AB128" s="104">
        <v>649.6</v>
      </c>
      <c r="AC128" s="105">
        <v>0</v>
      </c>
      <c r="AD128" s="99">
        <f t="shared" si="386"/>
        <v>987.4</v>
      </c>
      <c r="AE128" s="105">
        <v>0</v>
      </c>
      <c r="AF128" s="105">
        <v>0</v>
      </c>
      <c r="AG128" s="128">
        <v>987.4</v>
      </c>
      <c r="AH128" s="105">
        <v>0</v>
      </c>
      <c r="AI128" s="99">
        <f t="shared" si="387"/>
        <v>783.6</v>
      </c>
      <c r="AJ128" s="105">
        <v>0</v>
      </c>
      <c r="AK128" s="105">
        <v>0</v>
      </c>
      <c r="AL128" s="128">
        <f>955.7-172.1</f>
        <v>783.6</v>
      </c>
      <c r="AM128" s="105">
        <v>0</v>
      </c>
      <c r="AN128" s="99">
        <f t="shared" si="391"/>
        <v>1121.2</v>
      </c>
      <c r="AO128" s="105">
        <v>0</v>
      </c>
      <c r="AP128" s="105">
        <v>0</v>
      </c>
      <c r="AQ128" s="151">
        <v>1121.2</v>
      </c>
      <c r="AR128" s="105">
        <v>0</v>
      </c>
      <c r="AS128" s="99">
        <f t="shared" si="392"/>
        <v>1172.8</v>
      </c>
      <c r="AT128" s="105">
        <v>0</v>
      </c>
      <c r="AU128" s="105">
        <v>0</v>
      </c>
      <c r="AV128" s="128">
        <v>1172.8</v>
      </c>
      <c r="AW128" s="105">
        <v>0</v>
      </c>
      <c r="AX128" s="99">
        <f t="shared" si="393"/>
        <v>1219.7</v>
      </c>
      <c r="AY128" s="105">
        <v>0</v>
      </c>
      <c r="AZ128" s="105">
        <v>0</v>
      </c>
      <c r="BA128" s="128">
        <v>1219.7</v>
      </c>
      <c r="BB128" s="105">
        <v>0</v>
      </c>
    </row>
    <row r="129" spans="1:54" ht="93.75" outlineLevel="3" x14ac:dyDescent="0.25">
      <c r="A129" s="126" t="s">
        <v>156</v>
      </c>
      <c r="B129" s="127" t="s">
        <v>479</v>
      </c>
      <c r="C129" s="106" t="s">
        <v>67</v>
      </c>
      <c r="D129" s="102" t="s">
        <v>36</v>
      </c>
      <c r="E129" s="103">
        <f t="shared" si="378"/>
        <v>14909.199999999999</v>
      </c>
      <c r="F129" s="104">
        <f t="shared" si="379"/>
        <v>0</v>
      </c>
      <c r="G129" s="104">
        <f t="shared" si="379"/>
        <v>0</v>
      </c>
      <c r="H129" s="104">
        <f t="shared" si="380"/>
        <v>14909.199999999999</v>
      </c>
      <c r="I129" s="104">
        <f t="shared" si="381"/>
        <v>0</v>
      </c>
      <c r="J129" s="99">
        <f t="shared" si="382"/>
        <v>1596.5</v>
      </c>
      <c r="K129" s="105">
        <v>0</v>
      </c>
      <c r="L129" s="105">
        <v>0</v>
      </c>
      <c r="M129" s="105">
        <f>1215.8+380.7</f>
        <v>1596.5</v>
      </c>
      <c r="N129" s="105">
        <v>0</v>
      </c>
      <c r="O129" s="99">
        <f t="shared" si="383"/>
        <v>1608.2</v>
      </c>
      <c r="P129" s="105">
        <v>0</v>
      </c>
      <c r="Q129" s="105">
        <v>0</v>
      </c>
      <c r="R129" s="105">
        <f>1551.2+57</f>
        <v>1608.2</v>
      </c>
      <c r="S129" s="105">
        <v>0</v>
      </c>
      <c r="T129" s="99">
        <f t="shared" si="384"/>
        <v>1251.8</v>
      </c>
      <c r="U129" s="105">
        <v>0</v>
      </c>
      <c r="V129" s="105">
        <v>0</v>
      </c>
      <c r="W129" s="105">
        <v>1251.8</v>
      </c>
      <c r="X129" s="105">
        <v>0</v>
      </c>
      <c r="Y129" s="99">
        <f t="shared" si="385"/>
        <v>1358.3999999999999</v>
      </c>
      <c r="Z129" s="105">
        <v>0</v>
      </c>
      <c r="AA129" s="105">
        <v>0</v>
      </c>
      <c r="AB129" s="104">
        <f>1300.6+57.8</f>
        <v>1358.3999999999999</v>
      </c>
      <c r="AC129" s="105">
        <v>0</v>
      </c>
      <c r="AD129" s="99">
        <f t="shared" si="386"/>
        <v>1220.2</v>
      </c>
      <c r="AE129" s="105">
        <v>0</v>
      </c>
      <c r="AF129" s="105">
        <v>0</v>
      </c>
      <c r="AG129" s="128">
        <v>1220.2</v>
      </c>
      <c r="AH129" s="105">
        <v>0</v>
      </c>
      <c r="AI129" s="99">
        <f t="shared" si="387"/>
        <v>1612.6</v>
      </c>
      <c r="AJ129" s="105">
        <v>0</v>
      </c>
      <c r="AK129" s="105">
        <v>0</v>
      </c>
      <c r="AL129" s="128">
        <v>1612.6</v>
      </c>
      <c r="AM129" s="105">
        <v>0</v>
      </c>
      <c r="AN129" s="99">
        <f t="shared" si="391"/>
        <v>2605.4</v>
      </c>
      <c r="AO129" s="105">
        <v>0</v>
      </c>
      <c r="AP129" s="105">
        <v>0</v>
      </c>
      <c r="AQ129" s="151">
        <f>1713.4+892</f>
        <v>2605.4</v>
      </c>
      <c r="AR129" s="105">
        <v>0</v>
      </c>
      <c r="AS129" s="99">
        <f t="shared" si="392"/>
        <v>1792.2</v>
      </c>
      <c r="AT129" s="105">
        <v>0</v>
      </c>
      <c r="AU129" s="105">
        <v>0</v>
      </c>
      <c r="AV129" s="128">
        <v>1792.2</v>
      </c>
      <c r="AW129" s="105">
        <v>0</v>
      </c>
      <c r="AX129" s="99">
        <f t="shared" si="393"/>
        <v>1863.9</v>
      </c>
      <c r="AY129" s="105">
        <v>0</v>
      </c>
      <c r="AZ129" s="105">
        <v>0</v>
      </c>
      <c r="BA129" s="128">
        <v>1863.9</v>
      </c>
      <c r="BB129" s="105">
        <v>0</v>
      </c>
    </row>
    <row r="130" spans="1:54" ht="93.75" outlineLevel="3" x14ac:dyDescent="0.25">
      <c r="A130" s="126" t="s">
        <v>157</v>
      </c>
      <c r="B130" s="127" t="s">
        <v>480</v>
      </c>
      <c r="C130" s="106" t="s">
        <v>67</v>
      </c>
      <c r="D130" s="102" t="s">
        <v>36</v>
      </c>
      <c r="E130" s="103">
        <f>SUM(F130:I130)</f>
        <v>38905.800000000003</v>
      </c>
      <c r="F130" s="104">
        <f>K130+P130+U130</f>
        <v>0</v>
      </c>
      <c r="G130" s="104">
        <f>L130+Q130+V130</f>
        <v>0</v>
      </c>
      <c r="H130" s="104">
        <f t="shared" si="380"/>
        <v>38905.800000000003</v>
      </c>
      <c r="I130" s="104">
        <f>N130+S130+X130</f>
        <v>0</v>
      </c>
      <c r="J130" s="99">
        <f>SUM(K130:N130)</f>
        <v>6529.9</v>
      </c>
      <c r="K130" s="105">
        <v>0</v>
      </c>
      <c r="L130" s="105">
        <v>0</v>
      </c>
      <c r="M130" s="105">
        <f>3113.5+3416.4</f>
        <v>6529.9</v>
      </c>
      <c r="N130" s="105">
        <v>0</v>
      </c>
      <c r="O130" s="99">
        <f>SUM(P130:S130)</f>
        <v>3720.6</v>
      </c>
      <c r="P130" s="105">
        <v>0</v>
      </c>
      <c r="Q130" s="105">
        <v>0</v>
      </c>
      <c r="R130" s="105">
        <v>3720.6</v>
      </c>
      <c r="S130" s="105">
        <v>0</v>
      </c>
      <c r="T130" s="99">
        <f>SUM(U130:X130)</f>
        <v>3090.1</v>
      </c>
      <c r="U130" s="105">
        <v>0</v>
      </c>
      <c r="V130" s="105">
        <v>0</v>
      </c>
      <c r="W130" s="105">
        <v>3090.1</v>
      </c>
      <c r="X130" s="105">
        <v>0</v>
      </c>
      <c r="Y130" s="99">
        <f>SUM(Z130:AC130)</f>
        <v>3229</v>
      </c>
      <c r="Z130" s="105">
        <v>0</v>
      </c>
      <c r="AA130" s="105">
        <v>0</v>
      </c>
      <c r="AB130" s="104">
        <f>2945.2+283.8</f>
        <v>3229</v>
      </c>
      <c r="AC130" s="105">
        <v>0</v>
      </c>
      <c r="AD130" s="99">
        <f>SUM(AE130:AH130)</f>
        <v>3719.7</v>
      </c>
      <c r="AE130" s="105">
        <v>0</v>
      </c>
      <c r="AF130" s="105">
        <v>0</v>
      </c>
      <c r="AG130" s="128">
        <f>3495.2+224.5</f>
        <v>3719.7</v>
      </c>
      <c r="AH130" s="105">
        <v>0</v>
      </c>
      <c r="AI130" s="99">
        <f>SUM(AJ130:AM130)</f>
        <v>3439.2999999999997</v>
      </c>
      <c r="AJ130" s="105">
        <v>0</v>
      </c>
      <c r="AK130" s="105">
        <v>0</v>
      </c>
      <c r="AL130" s="128">
        <f>4193.5+74.9-829.1</f>
        <v>3439.2999999999997</v>
      </c>
      <c r="AM130" s="105">
        <v>0</v>
      </c>
      <c r="AN130" s="99">
        <f>SUM(AO130:AR130)</f>
        <v>4843</v>
      </c>
      <c r="AO130" s="105">
        <v>0</v>
      </c>
      <c r="AP130" s="105">
        <v>0</v>
      </c>
      <c r="AQ130" s="151">
        <v>4843</v>
      </c>
      <c r="AR130" s="105">
        <v>0</v>
      </c>
      <c r="AS130" s="99">
        <f>SUM(AT130:AW130)</f>
        <v>5065.8</v>
      </c>
      <c r="AT130" s="105">
        <v>0</v>
      </c>
      <c r="AU130" s="105">
        <v>0</v>
      </c>
      <c r="AV130" s="128">
        <v>5065.8</v>
      </c>
      <c r="AW130" s="105">
        <v>0</v>
      </c>
      <c r="AX130" s="99">
        <f>SUM(AY130:BB130)</f>
        <v>5268.4</v>
      </c>
      <c r="AY130" s="105">
        <v>0</v>
      </c>
      <c r="AZ130" s="105">
        <v>0</v>
      </c>
      <c r="BA130" s="128">
        <v>5268.4</v>
      </c>
      <c r="BB130" s="105">
        <v>0</v>
      </c>
    </row>
    <row r="131" spans="1:54" ht="93.75" outlineLevel="3" x14ac:dyDescent="0.25">
      <c r="A131" s="126" t="s">
        <v>389</v>
      </c>
      <c r="B131" s="127" t="s">
        <v>491</v>
      </c>
      <c r="C131" s="106" t="s">
        <v>67</v>
      </c>
      <c r="D131" s="102" t="s">
        <v>36</v>
      </c>
      <c r="E131" s="103">
        <f>SUM(F131:I131)</f>
        <v>26428.800000000003</v>
      </c>
      <c r="F131" s="104">
        <f>K131+P131+U131</f>
        <v>0</v>
      </c>
      <c r="G131" s="104">
        <f>L131+Q131+V131</f>
        <v>0</v>
      </c>
      <c r="H131" s="104">
        <f t="shared" si="380"/>
        <v>26428.800000000003</v>
      </c>
      <c r="I131" s="104"/>
      <c r="J131" s="99">
        <v>0</v>
      </c>
      <c r="K131" s="105">
        <v>0</v>
      </c>
      <c r="L131" s="105">
        <v>0</v>
      </c>
      <c r="M131" s="105">
        <v>0</v>
      </c>
      <c r="N131" s="105">
        <v>0</v>
      </c>
      <c r="O131" s="99">
        <f>R131</f>
        <v>1107.7</v>
      </c>
      <c r="P131" s="105">
        <v>0</v>
      </c>
      <c r="Q131" s="105">
        <v>0</v>
      </c>
      <c r="R131" s="105">
        <v>1107.7</v>
      </c>
      <c r="S131" s="105">
        <v>0</v>
      </c>
      <c r="T131" s="99">
        <f>SUM(U131:X131)</f>
        <v>954.6</v>
      </c>
      <c r="U131" s="105">
        <v>0</v>
      </c>
      <c r="V131" s="105">
        <v>0</v>
      </c>
      <c r="W131" s="105">
        <v>954.6</v>
      </c>
      <c r="X131" s="105">
        <v>0</v>
      </c>
      <c r="Y131" s="99">
        <f>SUM(Z131:AC131)</f>
        <v>1749.9</v>
      </c>
      <c r="Z131" s="105">
        <v>0</v>
      </c>
      <c r="AA131" s="105">
        <v>0</v>
      </c>
      <c r="AB131" s="104">
        <v>1749.9</v>
      </c>
      <c r="AC131" s="105">
        <v>0</v>
      </c>
      <c r="AD131" s="99">
        <f>SUM(AE131:AH131)</f>
        <v>3313.7000000000003</v>
      </c>
      <c r="AE131" s="105">
        <v>0</v>
      </c>
      <c r="AF131" s="105">
        <v>0</v>
      </c>
      <c r="AG131" s="128">
        <f>1805.6+1111.2+396.9</f>
        <v>3313.7000000000003</v>
      </c>
      <c r="AH131" s="105">
        <v>0</v>
      </c>
      <c r="AI131" s="99">
        <f>SUM(AJ131:AM131)</f>
        <v>4835.7</v>
      </c>
      <c r="AJ131" s="105">
        <v>0</v>
      </c>
      <c r="AK131" s="105">
        <v>0</v>
      </c>
      <c r="AL131" s="128">
        <f>2835.9+1999.8</f>
        <v>4835.7</v>
      </c>
      <c r="AM131" s="105">
        <v>0</v>
      </c>
      <c r="AN131" s="99">
        <f>SUM(AO131:AR131)</f>
        <v>5440.8</v>
      </c>
      <c r="AO131" s="105">
        <v>0</v>
      </c>
      <c r="AP131" s="105">
        <v>0</v>
      </c>
      <c r="AQ131" s="151">
        <f>4230.1+1210.7</f>
        <v>5440.8</v>
      </c>
      <c r="AR131" s="105">
        <v>0</v>
      </c>
      <c r="AS131" s="99">
        <f>SUM(AT131:AW131)</f>
        <v>4424.7</v>
      </c>
      <c r="AT131" s="105">
        <v>0</v>
      </c>
      <c r="AU131" s="105">
        <v>0</v>
      </c>
      <c r="AV131" s="128">
        <v>4424.7</v>
      </c>
      <c r="AW131" s="105">
        <v>0</v>
      </c>
      <c r="AX131" s="99">
        <f>SUM(AY131:BB131)</f>
        <v>4601.7</v>
      </c>
      <c r="AY131" s="105">
        <v>0</v>
      </c>
      <c r="AZ131" s="105">
        <v>0</v>
      </c>
      <c r="BA131" s="128">
        <v>4601.7</v>
      </c>
      <c r="BB131" s="105">
        <v>0</v>
      </c>
    </row>
    <row r="132" spans="1:54" s="98" customFormat="1" ht="56.25" customHeight="1" outlineLevel="2" x14ac:dyDescent="0.25">
      <c r="A132" s="97" t="s">
        <v>34</v>
      </c>
      <c r="B132" s="178" t="s">
        <v>57</v>
      </c>
      <c r="C132" s="178"/>
      <c r="D132" s="178"/>
      <c r="E132" s="99">
        <f t="shared" ref="E132:AL132" si="408">SUM(E133:E150)</f>
        <v>432777</v>
      </c>
      <c r="F132" s="99">
        <f t="shared" si="408"/>
        <v>0</v>
      </c>
      <c r="G132" s="99">
        <f t="shared" si="408"/>
        <v>0</v>
      </c>
      <c r="H132" s="99">
        <f t="shared" si="408"/>
        <v>432777</v>
      </c>
      <c r="I132" s="99">
        <f t="shared" si="408"/>
        <v>0</v>
      </c>
      <c r="J132" s="99">
        <f t="shared" si="408"/>
        <v>38500.100000000006</v>
      </c>
      <c r="K132" s="99">
        <f t="shared" si="408"/>
        <v>0</v>
      </c>
      <c r="L132" s="99">
        <f t="shared" si="408"/>
        <v>0</v>
      </c>
      <c r="M132" s="99">
        <f t="shared" si="408"/>
        <v>38500.100000000006</v>
      </c>
      <c r="N132" s="99">
        <f t="shared" si="408"/>
        <v>0</v>
      </c>
      <c r="O132" s="99">
        <f t="shared" si="408"/>
        <v>47996.6</v>
      </c>
      <c r="P132" s="99">
        <f t="shared" si="408"/>
        <v>0</v>
      </c>
      <c r="Q132" s="99">
        <f t="shared" si="408"/>
        <v>0</v>
      </c>
      <c r="R132" s="99">
        <f t="shared" si="408"/>
        <v>47996.6</v>
      </c>
      <c r="S132" s="99">
        <f t="shared" si="408"/>
        <v>0</v>
      </c>
      <c r="T132" s="99">
        <f t="shared" si="408"/>
        <v>48781.8</v>
      </c>
      <c r="U132" s="99">
        <f t="shared" si="408"/>
        <v>0</v>
      </c>
      <c r="V132" s="99">
        <f t="shared" si="408"/>
        <v>0</v>
      </c>
      <c r="W132" s="99">
        <f t="shared" si="408"/>
        <v>48781.8</v>
      </c>
      <c r="X132" s="99">
        <f t="shared" si="408"/>
        <v>0</v>
      </c>
      <c r="Y132" s="99">
        <f t="shared" si="408"/>
        <v>48076.500000000007</v>
      </c>
      <c r="Z132" s="99">
        <f t="shared" si="408"/>
        <v>0</v>
      </c>
      <c r="AA132" s="99">
        <f t="shared" si="408"/>
        <v>0</v>
      </c>
      <c r="AB132" s="99">
        <f t="shared" si="408"/>
        <v>48076.500000000007</v>
      </c>
      <c r="AC132" s="99">
        <f t="shared" si="408"/>
        <v>0</v>
      </c>
      <c r="AD132" s="99">
        <f t="shared" si="408"/>
        <v>46573.400000000009</v>
      </c>
      <c r="AE132" s="99">
        <f t="shared" si="408"/>
        <v>0</v>
      </c>
      <c r="AF132" s="99">
        <f t="shared" si="408"/>
        <v>0</v>
      </c>
      <c r="AG132" s="99">
        <f t="shared" si="408"/>
        <v>46573.400000000009</v>
      </c>
      <c r="AH132" s="99">
        <f t="shared" si="408"/>
        <v>0</v>
      </c>
      <c r="AI132" s="99">
        <f t="shared" si="408"/>
        <v>48170.7</v>
      </c>
      <c r="AJ132" s="99">
        <f t="shared" si="408"/>
        <v>0</v>
      </c>
      <c r="AK132" s="99">
        <f t="shared" si="408"/>
        <v>0</v>
      </c>
      <c r="AL132" s="99">
        <f t="shared" si="408"/>
        <v>48170.7</v>
      </c>
      <c r="AM132" s="99">
        <f>SUM(AM133:AM148)</f>
        <v>0</v>
      </c>
      <c r="AN132" s="99">
        <f>SUM(AN133:AN150)</f>
        <v>50766.299999999996</v>
      </c>
      <c r="AO132" s="99">
        <f>SUM(AO133:AO150)</f>
        <v>0</v>
      </c>
      <c r="AP132" s="99">
        <f>SUM(AP133:AP150)</f>
        <v>0</v>
      </c>
      <c r="AQ132" s="99">
        <f>SUM(AQ133:AQ150)</f>
        <v>50766.299999999996</v>
      </c>
      <c r="AR132" s="99">
        <f>SUM(AR133:AR148)</f>
        <v>0</v>
      </c>
      <c r="AS132" s="99">
        <f>SUM(AS133:AS150)</f>
        <v>52168.9</v>
      </c>
      <c r="AT132" s="99">
        <f>SUM(AT133:AT150)</f>
        <v>0</v>
      </c>
      <c r="AU132" s="99">
        <f>SUM(AU133:AU150)</f>
        <v>0</v>
      </c>
      <c r="AV132" s="99">
        <f>SUM(AV133:AV150)</f>
        <v>52168.9</v>
      </c>
      <c r="AW132" s="99">
        <f>SUM(AW133:AW148)</f>
        <v>0</v>
      </c>
      <c r="AX132" s="99">
        <f>SUM(AX133:AX150)</f>
        <v>51742.700000000004</v>
      </c>
      <c r="AY132" s="99">
        <f>SUM(AY133:AY150)</f>
        <v>0</v>
      </c>
      <c r="AZ132" s="99">
        <f>SUM(AZ133:AZ150)</f>
        <v>0</v>
      </c>
      <c r="BA132" s="99">
        <f>SUM(BA133:BA150)</f>
        <v>51742.700000000004</v>
      </c>
      <c r="BB132" s="99">
        <f>SUM(BB133:BB148)</f>
        <v>0</v>
      </c>
    </row>
    <row r="133" spans="1:54" ht="93.75" outlineLevel="3" x14ac:dyDescent="0.25">
      <c r="A133" s="126" t="s">
        <v>119</v>
      </c>
      <c r="B133" s="127" t="s">
        <v>463</v>
      </c>
      <c r="C133" s="106" t="s">
        <v>67</v>
      </c>
      <c r="D133" s="102" t="s">
        <v>36</v>
      </c>
      <c r="E133" s="103">
        <f t="shared" ref="E133:E148" si="409">SUM(F133:I133)</f>
        <v>15190.300000000001</v>
      </c>
      <c r="F133" s="104">
        <f t="shared" ref="F133:G148" si="410">K133+P133+U133</f>
        <v>0</v>
      </c>
      <c r="G133" s="104">
        <f t="shared" si="410"/>
        <v>0</v>
      </c>
      <c r="H133" s="104">
        <f t="shared" si="380"/>
        <v>15190.300000000001</v>
      </c>
      <c r="I133" s="104">
        <f t="shared" ref="I133:I148" si="411">N133+S133+X133</f>
        <v>0</v>
      </c>
      <c r="J133" s="99">
        <f t="shared" ref="J133:J148" si="412">SUM(K133:N133)</f>
        <v>1518</v>
      </c>
      <c r="K133" s="105">
        <v>0</v>
      </c>
      <c r="L133" s="105">
        <v>0</v>
      </c>
      <c r="M133" s="105">
        <v>1518</v>
      </c>
      <c r="N133" s="105">
        <v>0</v>
      </c>
      <c r="O133" s="99">
        <f t="shared" ref="O133:O148" si="413">SUM(P133:S133)</f>
        <v>1518</v>
      </c>
      <c r="P133" s="105">
        <v>0</v>
      </c>
      <c r="Q133" s="105">
        <v>0</v>
      </c>
      <c r="R133" s="105">
        <v>1518</v>
      </c>
      <c r="S133" s="105">
        <v>0</v>
      </c>
      <c r="T133" s="99">
        <f t="shared" ref="T133:T148" si="414">SUM(U133:X133)</f>
        <v>1741.8</v>
      </c>
      <c r="U133" s="105">
        <v>0</v>
      </c>
      <c r="V133" s="105">
        <v>0</v>
      </c>
      <c r="W133" s="105">
        <f>1518+26.6+197.2</f>
        <v>1741.8</v>
      </c>
      <c r="X133" s="105">
        <v>0</v>
      </c>
      <c r="Y133" s="99">
        <f t="shared" ref="Y133:Y134" si="415">SUM(Z133:AC133)</f>
        <v>1947.1</v>
      </c>
      <c r="Z133" s="105">
        <v>0</v>
      </c>
      <c r="AA133" s="105">
        <v>0</v>
      </c>
      <c r="AB133" s="104">
        <v>1947.1</v>
      </c>
      <c r="AC133" s="105">
        <v>0</v>
      </c>
      <c r="AD133" s="99">
        <f t="shared" ref="AD133:AD134" si="416">SUM(AE133:AH133)</f>
        <v>1947.1</v>
      </c>
      <c r="AE133" s="105">
        <v>0</v>
      </c>
      <c r="AF133" s="105">
        <v>0</v>
      </c>
      <c r="AG133" s="104">
        <v>1947.1</v>
      </c>
      <c r="AH133" s="105">
        <v>0</v>
      </c>
      <c r="AI133" s="99">
        <f t="shared" ref="AI133:AI134" si="417">SUM(AJ133:AM133)</f>
        <v>1639.6000000000001</v>
      </c>
      <c r="AJ133" s="105">
        <v>0</v>
      </c>
      <c r="AK133" s="105">
        <v>0</v>
      </c>
      <c r="AL133" s="104">
        <f>2024.9-385.3</f>
        <v>1639.6000000000001</v>
      </c>
      <c r="AM133" s="105">
        <v>0</v>
      </c>
      <c r="AN133" s="99">
        <f t="shared" ref="AN133:AN134" si="418">SUM(AO133:AR133)</f>
        <v>1597.7</v>
      </c>
      <c r="AO133" s="105">
        <v>0</v>
      </c>
      <c r="AP133" s="105">
        <v>0</v>
      </c>
      <c r="AQ133" s="129">
        <f>1554.9+42.8</f>
        <v>1597.7</v>
      </c>
      <c r="AR133" s="130">
        <v>0</v>
      </c>
      <c r="AS133" s="99">
        <f t="shared" ref="AS133:AS134" si="419">SUM(AT133:AW133)</f>
        <v>1640.5</v>
      </c>
      <c r="AT133" s="105">
        <v>0</v>
      </c>
      <c r="AU133" s="105">
        <v>0</v>
      </c>
      <c r="AV133" s="129">
        <f>1554.9+85.6</f>
        <v>1640.5</v>
      </c>
      <c r="AW133" s="130">
        <v>0</v>
      </c>
      <c r="AX133" s="99">
        <f t="shared" ref="AX133:AX134" si="420">SUM(AY133:BB133)</f>
        <v>1640.5</v>
      </c>
      <c r="AY133" s="105">
        <v>0</v>
      </c>
      <c r="AZ133" s="105">
        <v>0</v>
      </c>
      <c r="BA133" s="129">
        <f>1554.9+85.6</f>
        <v>1640.5</v>
      </c>
      <c r="BB133" s="130">
        <v>0</v>
      </c>
    </row>
    <row r="134" spans="1:54" ht="93.75" outlineLevel="3" x14ac:dyDescent="0.25">
      <c r="A134" s="126" t="s">
        <v>120</v>
      </c>
      <c r="B134" s="127" t="s">
        <v>464</v>
      </c>
      <c r="C134" s="106" t="s">
        <v>67</v>
      </c>
      <c r="D134" s="102" t="s">
        <v>36</v>
      </c>
      <c r="E134" s="103">
        <f t="shared" si="409"/>
        <v>22218.000000000004</v>
      </c>
      <c r="F134" s="104">
        <f t="shared" si="410"/>
        <v>0</v>
      </c>
      <c r="G134" s="104">
        <f t="shared" si="410"/>
        <v>0</v>
      </c>
      <c r="H134" s="104">
        <f t="shared" si="380"/>
        <v>22218.000000000004</v>
      </c>
      <c r="I134" s="104">
        <f t="shared" si="411"/>
        <v>0</v>
      </c>
      <c r="J134" s="99">
        <f t="shared" si="412"/>
        <v>3386.8</v>
      </c>
      <c r="K134" s="105">
        <v>0</v>
      </c>
      <c r="L134" s="105">
        <v>0</v>
      </c>
      <c r="M134" s="105">
        <f>2662.8+724</f>
        <v>3386.8</v>
      </c>
      <c r="N134" s="105">
        <v>0</v>
      </c>
      <c r="O134" s="99">
        <f t="shared" si="413"/>
        <v>3386.8</v>
      </c>
      <c r="P134" s="105">
        <v>0</v>
      </c>
      <c r="Q134" s="105">
        <v>0</v>
      </c>
      <c r="R134" s="105">
        <v>3386.8</v>
      </c>
      <c r="S134" s="105">
        <v>0</v>
      </c>
      <c r="T134" s="99">
        <f t="shared" si="414"/>
        <v>3446</v>
      </c>
      <c r="U134" s="105">
        <v>0</v>
      </c>
      <c r="V134" s="105">
        <v>0</v>
      </c>
      <c r="W134" s="105">
        <f>3386.8+59.2</f>
        <v>3446</v>
      </c>
      <c r="X134" s="105">
        <v>0</v>
      </c>
      <c r="Y134" s="99">
        <f t="shared" si="415"/>
        <v>2396.3000000000002</v>
      </c>
      <c r="Z134" s="105">
        <v>0</v>
      </c>
      <c r="AA134" s="105">
        <v>0</v>
      </c>
      <c r="AB134" s="104">
        <v>2396.3000000000002</v>
      </c>
      <c r="AC134" s="105">
        <v>0</v>
      </c>
      <c r="AD134" s="99">
        <f t="shared" si="416"/>
        <v>1810.7</v>
      </c>
      <c r="AE134" s="105">
        <v>0</v>
      </c>
      <c r="AF134" s="105">
        <v>0</v>
      </c>
      <c r="AG134" s="104">
        <f>2059.5-248.8</f>
        <v>1810.7</v>
      </c>
      <c r="AH134" s="105">
        <v>0</v>
      </c>
      <c r="AI134" s="99">
        <f t="shared" si="417"/>
        <v>1883.1</v>
      </c>
      <c r="AJ134" s="105">
        <v>0</v>
      </c>
      <c r="AK134" s="105">
        <v>0</v>
      </c>
      <c r="AL134" s="104">
        <v>1883.1</v>
      </c>
      <c r="AM134" s="105">
        <v>0</v>
      </c>
      <c r="AN134" s="99">
        <f t="shared" si="418"/>
        <v>1934.8999999999999</v>
      </c>
      <c r="AO134" s="105">
        <v>0</v>
      </c>
      <c r="AP134" s="105">
        <v>0</v>
      </c>
      <c r="AQ134" s="129">
        <f>1883.1+51.8</f>
        <v>1934.8999999999999</v>
      </c>
      <c r="AR134" s="130">
        <v>0</v>
      </c>
      <c r="AS134" s="99">
        <f t="shared" si="419"/>
        <v>1986.6999999999998</v>
      </c>
      <c r="AT134" s="105">
        <v>0</v>
      </c>
      <c r="AU134" s="105">
        <v>0</v>
      </c>
      <c r="AV134" s="129">
        <f>1883.1+103.6</f>
        <v>1986.6999999999998</v>
      </c>
      <c r="AW134" s="130">
        <v>0</v>
      </c>
      <c r="AX134" s="99">
        <f t="shared" si="420"/>
        <v>1986.6999999999998</v>
      </c>
      <c r="AY134" s="105">
        <v>0</v>
      </c>
      <c r="AZ134" s="105">
        <v>0</v>
      </c>
      <c r="BA134" s="129">
        <f>1883.1+103.6</f>
        <v>1986.6999999999998</v>
      </c>
      <c r="BB134" s="130">
        <v>0</v>
      </c>
    </row>
    <row r="135" spans="1:54" ht="93.75" outlineLevel="3" x14ac:dyDescent="0.25">
      <c r="A135" s="126" t="s">
        <v>121</v>
      </c>
      <c r="B135" s="127" t="s">
        <v>465</v>
      </c>
      <c r="C135" s="106" t="s">
        <v>67</v>
      </c>
      <c r="D135" s="102" t="s">
        <v>36</v>
      </c>
      <c r="E135" s="103">
        <f t="shared" si="409"/>
        <v>22946.7</v>
      </c>
      <c r="F135" s="104">
        <f t="shared" si="410"/>
        <v>0</v>
      </c>
      <c r="G135" s="104">
        <f t="shared" si="410"/>
        <v>0</v>
      </c>
      <c r="H135" s="104">
        <f t="shared" si="380"/>
        <v>22946.7</v>
      </c>
      <c r="I135" s="104"/>
      <c r="J135" s="99">
        <v>0</v>
      </c>
      <c r="K135" s="105">
        <v>0</v>
      </c>
      <c r="L135" s="105">
        <v>0</v>
      </c>
      <c r="M135" s="105">
        <v>0</v>
      </c>
      <c r="N135" s="105">
        <v>0</v>
      </c>
      <c r="O135" s="99">
        <f>R135</f>
        <v>3078.2</v>
      </c>
      <c r="P135" s="105">
        <v>0</v>
      </c>
      <c r="Q135" s="105">
        <v>0</v>
      </c>
      <c r="R135" s="105">
        <f>2994.5+83.7</f>
        <v>3078.2</v>
      </c>
      <c r="S135" s="105">
        <v>0</v>
      </c>
      <c r="T135" s="99">
        <f>W135</f>
        <v>2805.7</v>
      </c>
      <c r="U135" s="105">
        <v>0</v>
      </c>
      <c r="V135" s="105">
        <v>0</v>
      </c>
      <c r="W135" s="105">
        <f>2994.5+289.7-478.5</f>
        <v>2805.7</v>
      </c>
      <c r="X135" s="105">
        <v>0</v>
      </c>
      <c r="Y135" s="99">
        <f>AB135</f>
        <v>2707.1</v>
      </c>
      <c r="Z135" s="105">
        <v>0</v>
      </c>
      <c r="AA135" s="105">
        <v>0</v>
      </c>
      <c r="AB135" s="104">
        <v>2707.1</v>
      </c>
      <c r="AC135" s="105">
        <v>0</v>
      </c>
      <c r="AD135" s="99">
        <f>AG135</f>
        <v>2707.1</v>
      </c>
      <c r="AE135" s="105">
        <v>0</v>
      </c>
      <c r="AF135" s="105">
        <v>0</v>
      </c>
      <c r="AG135" s="104">
        <v>2707.1</v>
      </c>
      <c r="AH135" s="105">
        <v>0</v>
      </c>
      <c r="AI135" s="99">
        <f>AL135</f>
        <v>2815.4</v>
      </c>
      <c r="AJ135" s="105">
        <v>0</v>
      </c>
      <c r="AK135" s="105">
        <v>0</v>
      </c>
      <c r="AL135" s="104">
        <v>2815.4</v>
      </c>
      <c r="AM135" s="105">
        <v>0</v>
      </c>
      <c r="AN135" s="99">
        <f>AQ135</f>
        <v>2892.8</v>
      </c>
      <c r="AO135" s="105">
        <v>0</v>
      </c>
      <c r="AP135" s="105">
        <v>0</v>
      </c>
      <c r="AQ135" s="129">
        <f>2815.4+77.4</f>
        <v>2892.8</v>
      </c>
      <c r="AR135" s="130">
        <v>0</v>
      </c>
      <c r="AS135" s="99">
        <f>AV135</f>
        <v>2970.2000000000003</v>
      </c>
      <c r="AT135" s="105">
        <v>0</v>
      </c>
      <c r="AU135" s="105">
        <v>0</v>
      </c>
      <c r="AV135" s="129">
        <f>2815.4+154.8</f>
        <v>2970.2000000000003</v>
      </c>
      <c r="AW135" s="130">
        <v>0</v>
      </c>
      <c r="AX135" s="99">
        <f>BA135</f>
        <v>2970.2000000000003</v>
      </c>
      <c r="AY135" s="105">
        <v>0</v>
      </c>
      <c r="AZ135" s="105">
        <v>0</v>
      </c>
      <c r="BA135" s="129">
        <f>2815.4+154.8</f>
        <v>2970.2000000000003</v>
      </c>
      <c r="BB135" s="130">
        <v>0</v>
      </c>
    </row>
    <row r="136" spans="1:54" ht="93.75" outlineLevel="3" x14ac:dyDescent="0.25">
      <c r="A136" s="126" t="s">
        <v>122</v>
      </c>
      <c r="B136" s="127" t="s">
        <v>466</v>
      </c>
      <c r="C136" s="106" t="s">
        <v>67</v>
      </c>
      <c r="D136" s="102" t="s">
        <v>36</v>
      </c>
      <c r="E136" s="103">
        <f t="shared" ref="E136" si="421">SUM(F136:I136)</f>
        <v>4094</v>
      </c>
      <c r="F136" s="104">
        <f t="shared" ref="F136" si="422">K136+P136+U136</f>
        <v>0</v>
      </c>
      <c r="G136" s="104">
        <f t="shared" ref="G136" si="423">L136+Q136+V136</f>
        <v>0</v>
      </c>
      <c r="H136" s="104">
        <f t="shared" si="380"/>
        <v>4094</v>
      </c>
      <c r="I136" s="104"/>
      <c r="J136" s="99">
        <v>0</v>
      </c>
      <c r="K136" s="105">
        <v>0</v>
      </c>
      <c r="L136" s="105">
        <v>0</v>
      </c>
      <c r="M136" s="105">
        <v>0</v>
      </c>
      <c r="N136" s="105">
        <v>0</v>
      </c>
      <c r="O136" s="99">
        <f>R136</f>
        <v>0</v>
      </c>
      <c r="P136" s="105">
        <v>0</v>
      </c>
      <c r="Q136" s="105">
        <v>0</v>
      </c>
      <c r="R136" s="105">
        <v>0</v>
      </c>
      <c r="S136" s="105">
        <v>0</v>
      </c>
      <c r="T136" s="99">
        <f>W136</f>
        <v>0</v>
      </c>
      <c r="U136" s="105">
        <v>0</v>
      </c>
      <c r="V136" s="105">
        <v>0</v>
      </c>
      <c r="W136" s="105">
        <v>0</v>
      </c>
      <c r="X136" s="105">
        <v>0</v>
      </c>
      <c r="Y136" s="99">
        <f>AB136</f>
        <v>257.39999999999998</v>
      </c>
      <c r="Z136" s="105">
        <v>0</v>
      </c>
      <c r="AA136" s="105">
        <v>0</v>
      </c>
      <c r="AB136" s="104">
        <v>257.39999999999998</v>
      </c>
      <c r="AC136" s="105">
        <v>0</v>
      </c>
      <c r="AD136" s="99">
        <f>AG136</f>
        <v>257.39999999999998</v>
      </c>
      <c r="AE136" s="105">
        <v>0</v>
      </c>
      <c r="AF136" s="105">
        <v>0</v>
      </c>
      <c r="AG136" s="104">
        <v>257.39999999999998</v>
      </c>
      <c r="AH136" s="105">
        <v>0</v>
      </c>
      <c r="AI136" s="99">
        <f>AL136</f>
        <v>466.9</v>
      </c>
      <c r="AJ136" s="105">
        <v>0</v>
      </c>
      <c r="AK136" s="105">
        <v>0</v>
      </c>
      <c r="AL136" s="104">
        <f>267.7+199.2</f>
        <v>466.9</v>
      </c>
      <c r="AM136" s="105">
        <v>0</v>
      </c>
      <c r="AN136" s="99">
        <f>AQ136</f>
        <v>1019.3</v>
      </c>
      <c r="AO136" s="105">
        <v>0</v>
      </c>
      <c r="AP136" s="105">
        <v>0</v>
      </c>
      <c r="AQ136" s="129">
        <f>992+27.3</f>
        <v>1019.3</v>
      </c>
      <c r="AR136" s="130">
        <v>0</v>
      </c>
      <c r="AS136" s="99">
        <f>AV136</f>
        <v>1046.5</v>
      </c>
      <c r="AT136" s="105">
        <v>0</v>
      </c>
      <c r="AU136" s="105">
        <v>0</v>
      </c>
      <c r="AV136" s="129">
        <f>992+54.5</f>
        <v>1046.5</v>
      </c>
      <c r="AW136" s="130">
        <v>0</v>
      </c>
      <c r="AX136" s="99">
        <f>BA136</f>
        <v>1046.5</v>
      </c>
      <c r="AY136" s="105">
        <v>0</v>
      </c>
      <c r="AZ136" s="105">
        <v>0</v>
      </c>
      <c r="BA136" s="129">
        <f>992+54.5</f>
        <v>1046.5</v>
      </c>
      <c r="BB136" s="130">
        <v>0</v>
      </c>
    </row>
    <row r="137" spans="1:54" ht="93.75" outlineLevel="3" x14ac:dyDescent="0.25">
      <c r="A137" s="126" t="s">
        <v>123</v>
      </c>
      <c r="B137" s="127" t="s">
        <v>467</v>
      </c>
      <c r="C137" s="106" t="s">
        <v>67</v>
      </c>
      <c r="D137" s="102" t="s">
        <v>36</v>
      </c>
      <c r="E137" s="103">
        <f t="shared" si="409"/>
        <v>19483.300000000003</v>
      </c>
      <c r="F137" s="104">
        <f t="shared" si="410"/>
        <v>0</v>
      </c>
      <c r="G137" s="104">
        <f t="shared" si="410"/>
        <v>0</v>
      </c>
      <c r="H137" s="104">
        <f t="shared" si="380"/>
        <v>19483.300000000003</v>
      </c>
      <c r="I137" s="104">
        <f t="shared" si="411"/>
        <v>0</v>
      </c>
      <c r="J137" s="99">
        <f t="shared" si="412"/>
        <v>1797.5</v>
      </c>
      <c r="K137" s="105">
        <v>0</v>
      </c>
      <c r="L137" s="105">
        <v>0</v>
      </c>
      <c r="M137" s="105">
        <f>1797.4+0.1</f>
        <v>1797.5</v>
      </c>
      <c r="N137" s="105">
        <v>0</v>
      </c>
      <c r="O137" s="99">
        <f t="shared" si="413"/>
        <v>1797.5</v>
      </c>
      <c r="P137" s="105">
        <v>0</v>
      </c>
      <c r="Q137" s="105">
        <v>0</v>
      </c>
      <c r="R137" s="105">
        <v>1797.5</v>
      </c>
      <c r="S137" s="105">
        <v>0</v>
      </c>
      <c r="T137" s="99">
        <f t="shared" si="414"/>
        <v>1829</v>
      </c>
      <c r="U137" s="105">
        <v>0</v>
      </c>
      <c r="V137" s="105">
        <v>0</v>
      </c>
      <c r="W137" s="105">
        <f>1797.5+31.5</f>
        <v>1829</v>
      </c>
      <c r="X137" s="105">
        <v>0</v>
      </c>
      <c r="Y137" s="99">
        <f t="shared" ref="Y137:Y140" si="424">SUM(Z137:AC137)</f>
        <v>1873</v>
      </c>
      <c r="Z137" s="105">
        <v>0</v>
      </c>
      <c r="AA137" s="105">
        <v>0</v>
      </c>
      <c r="AB137" s="104">
        <v>1873</v>
      </c>
      <c r="AC137" s="105">
        <v>0</v>
      </c>
      <c r="AD137" s="99">
        <f t="shared" ref="AD137:AD140" si="425">SUM(AE137:AH137)</f>
        <v>1966.1</v>
      </c>
      <c r="AE137" s="105">
        <v>0</v>
      </c>
      <c r="AF137" s="105">
        <v>0</v>
      </c>
      <c r="AG137" s="104">
        <f>1873+93.1</f>
        <v>1966.1</v>
      </c>
      <c r="AH137" s="105">
        <v>0</v>
      </c>
      <c r="AI137" s="99">
        <f t="shared" ref="AI137:AI140" si="426">SUM(AJ137:AM137)</f>
        <v>2470.1</v>
      </c>
      <c r="AJ137" s="105">
        <v>0</v>
      </c>
      <c r="AK137" s="105">
        <v>0</v>
      </c>
      <c r="AL137" s="104">
        <v>2470.1</v>
      </c>
      <c r="AM137" s="105">
        <v>0</v>
      </c>
      <c r="AN137" s="99">
        <f t="shared" ref="AN137:AN140" si="427">SUM(AO137:AR137)</f>
        <v>2538.1</v>
      </c>
      <c r="AO137" s="105">
        <v>0</v>
      </c>
      <c r="AP137" s="105">
        <v>0</v>
      </c>
      <c r="AQ137" s="129">
        <f>2470.1+68</f>
        <v>2538.1</v>
      </c>
      <c r="AR137" s="130">
        <v>0</v>
      </c>
      <c r="AS137" s="99">
        <f t="shared" ref="AS137:AS140" si="428">SUM(AT137:AW137)</f>
        <v>2606</v>
      </c>
      <c r="AT137" s="105">
        <v>0</v>
      </c>
      <c r="AU137" s="105">
        <v>0</v>
      </c>
      <c r="AV137" s="129">
        <f>2470.1+135.9</f>
        <v>2606</v>
      </c>
      <c r="AW137" s="130">
        <v>0</v>
      </c>
      <c r="AX137" s="99">
        <f t="shared" ref="AX137:AX140" si="429">SUM(AY137:BB137)</f>
        <v>2606</v>
      </c>
      <c r="AY137" s="105">
        <v>0</v>
      </c>
      <c r="AZ137" s="105">
        <v>0</v>
      </c>
      <c r="BA137" s="129">
        <f>2470.1+135.9</f>
        <v>2606</v>
      </c>
      <c r="BB137" s="130">
        <v>0</v>
      </c>
    </row>
    <row r="138" spans="1:54" ht="93.75" outlineLevel="3" x14ac:dyDescent="0.25">
      <c r="A138" s="126" t="s">
        <v>124</v>
      </c>
      <c r="B138" s="127" t="s">
        <v>468</v>
      </c>
      <c r="C138" s="106" t="s">
        <v>67</v>
      </c>
      <c r="D138" s="102" t="s">
        <v>36</v>
      </c>
      <c r="E138" s="103">
        <f t="shared" si="409"/>
        <v>26425.5</v>
      </c>
      <c r="F138" s="104">
        <f t="shared" si="410"/>
        <v>0</v>
      </c>
      <c r="G138" s="104">
        <f t="shared" si="410"/>
        <v>0</v>
      </c>
      <c r="H138" s="104">
        <f t="shared" si="380"/>
        <v>26425.5</v>
      </c>
      <c r="I138" s="104">
        <f t="shared" si="411"/>
        <v>0</v>
      </c>
      <c r="J138" s="99">
        <f t="shared" si="412"/>
        <v>2756.9</v>
      </c>
      <c r="K138" s="105">
        <v>0</v>
      </c>
      <c r="L138" s="105">
        <v>0</v>
      </c>
      <c r="M138" s="105">
        <f>2551+205.9</f>
        <v>2756.9</v>
      </c>
      <c r="N138" s="105">
        <v>0</v>
      </c>
      <c r="O138" s="99">
        <f t="shared" si="413"/>
        <v>2756.9</v>
      </c>
      <c r="P138" s="105">
        <v>0</v>
      </c>
      <c r="Q138" s="105">
        <v>0</v>
      </c>
      <c r="R138" s="105">
        <v>2756.9</v>
      </c>
      <c r="S138" s="105">
        <v>0</v>
      </c>
      <c r="T138" s="99">
        <f t="shared" si="414"/>
        <v>2805.1</v>
      </c>
      <c r="U138" s="105">
        <v>0</v>
      </c>
      <c r="V138" s="105">
        <v>0</v>
      </c>
      <c r="W138" s="105">
        <f>2756.9+48.2</f>
        <v>2805.1</v>
      </c>
      <c r="X138" s="105">
        <v>0</v>
      </c>
      <c r="Y138" s="99">
        <f t="shared" si="424"/>
        <v>2872.7</v>
      </c>
      <c r="Z138" s="105">
        <v>0</v>
      </c>
      <c r="AA138" s="105">
        <v>0</v>
      </c>
      <c r="AB138" s="104">
        <f>2872.7</f>
        <v>2872.7</v>
      </c>
      <c r="AC138" s="105">
        <v>0</v>
      </c>
      <c r="AD138" s="99">
        <f t="shared" si="425"/>
        <v>2872.7</v>
      </c>
      <c r="AE138" s="105">
        <v>0</v>
      </c>
      <c r="AF138" s="105">
        <v>0</v>
      </c>
      <c r="AG138" s="104">
        <v>2872.7</v>
      </c>
      <c r="AH138" s="105">
        <v>0</v>
      </c>
      <c r="AI138" s="99">
        <f t="shared" si="426"/>
        <v>2987.6</v>
      </c>
      <c r="AJ138" s="105">
        <v>0</v>
      </c>
      <c r="AK138" s="105">
        <v>0</v>
      </c>
      <c r="AL138" s="104">
        <v>2987.6</v>
      </c>
      <c r="AM138" s="105">
        <v>0</v>
      </c>
      <c r="AN138" s="99">
        <f t="shared" si="427"/>
        <v>3069.7999999999997</v>
      </c>
      <c r="AO138" s="105">
        <v>0</v>
      </c>
      <c r="AP138" s="105">
        <v>0</v>
      </c>
      <c r="AQ138" s="129">
        <f>2987.6+82.2</f>
        <v>3069.7999999999997</v>
      </c>
      <c r="AR138" s="130">
        <v>0</v>
      </c>
      <c r="AS138" s="99">
        <f t="shared" si="428"/>
        <v>3151.9</v>
      </c>
      <c r="AT138" s="105">
        <v>0</v>
      </c>
      <c r="AU138" s="105">
        <v>0</v>
      </c>
      <c r="AV138" s="129">
        <f>2987.6+164.3</f>
        <v>3151.9</v>
      </c>
      <c r="AW138" s="130">
        <v>0</v>
      </c>
      <c r="AX138" s="99">
        <f t="shared" si="429"/>
        <v>3151.9</v>
      </c>
      <c r="AY138" s="105">
        <v>0</v>
      </c>
      <c r="AZ138" s="105">
        <v>0</v>
      </c>
      <c r="BA138" s="129">
        <f>2987.6+164.3</f>
        <v>3151.9</v>
      </c>
      <c r="BB138" s="130">
        <v>0</v>
      </c>
    </row>
    <row r="139" spans="1:54" ht="93.75" outlineLevel="3" x14ac:dyDescent="0.25">
      <c r="A139" s="126" t="s">
        <v>125</v>
      </c>
      <c r="B139" s="127" t="s">
        <v>469</v>
      </c>
      <c r="C139" s="106" t="s">
        <v>67</v>
      </c>
      <c r="D139" s="102" t="s">
        <v>36</v>
      </c>
      <c r="E139" s="103">
        <f t="shared" si="409"/>
        <v>18404.900000000001</v>
      </c>
      <c r="F139" s="104">
        <f t="shared" si="410"/>
        <v>0</v>
      </c>
      <c r="G139" s="104">
        <f t="shared" si="410"/>
        <v>0</v>
      </c>
      <c r="H139" s="104">
        <f t="shared" si="380"/>
        <v>18404.900000000001</v>
      </c>
      <c r="I139" s="104">
        <f t="shared" si="411"/>
        <v>0</v>
      </c>
      <c r="J139" s="99">
        <f t="shared" si="412"/>
        <v>2361.6999999999998</v>
      </c>
      <c r="K139" s="105">
        <v>0</v>
      </c>
      <c r="L139" s="105">
        <v>0</v>
      </c>
      <c r="M139" s="105">
        <v>2361.6999999999998</v>
      </c>
      <c r="N139" s="105">
        <v>0</v>
      </c>
      <c r="O139" s="99">
        <f t="shared" si="413"/>
        <v>2361.6999999999998</v>
      </c>
      <c r="P139" s="105">
        <v>0</v>
      </c>
      <c r="Q139" s="105">
        <v>0</v>
      </c>
      <c r="R139" s="105">
        <v>2361.6999999999998</v>
      </c>
      <c r="S139" s="105">
        <v>0</v>
      </c>
      <c r="T139" s="99">
        <f t="shared" si="414"/>
        <v>2403</v>
      </c>
      <c r="U139" s="105">
        <v>0</v>
      </c>
      <c r="V139" s="105">
        <v>0</v>
      </c>
      <c r="W139" s="105">
        <f>2361.7+41.3</f>
        <v>2403</v>
      </c>
      <c r="X139" s="105">
        <v>0</v>
      </c>
      <c r="Y139" s="99">
        <f t="shared" si="424"/>
        <v>2045.1</v>
      </c>
      <c r="Z139" s="105">
        <v>0</v>
      </c>
      <c r="AA139" s="105">
        <v>0</v>
      </c>
      <c r="AB139" s="104">
        <v>2045.1</v>
      </c>
      <c r="AC139" s="105">
        <v>0</v>
      </c>
      <c r="AD139" s="99">
        <f t="shared" si="425"/>
        <v>1741.2000000000003</v>
      </c>
      <c r="AE139" s="105">
        <v>0</v>
      </c>
      <c r="AF139" s="105">
        <v>0</v>
      </c>
      <c r="AG139" s="104">
        <f>2460.8-464.3-255.3</f>
        <v>1741.2000000000003</v>
      </c>
      <c r="AH139" s="105">
        <v>0</v>
      </c>
      <c r="AI139" s="99">
        <f t="shared" si="426"/>
        <v>1810.8</v>
      </c>
      <c r="AJ139" s="105">
        <v>0</v>
      </c>
      <c r="AK139" s="105">
        <v>0</v>
      </c>
      <c r="AL139" s="104">
        <v>1810.8</v>
      </c>
      <c r="AM139" s="105">
        <v>0</v>
      </c>
      <c r="AN139" s="99">
        <f t="shared" si="427"/>
        <v>1860.6</v>
      </c>
      <c r="AO139" s="105">
        <v>0</v>
      </c>
      <c r="AP139" s="105">
        <v>0</v>
      </c>
      <c r="AQ139" s="129">
        <f>1810.8+49.8</f>
        <v>1860.6</v>
      </c>
      <c r="AR139" s="130">
        <v>0</v>
      </c>
      <c r="AS139" s="99">
        <f t="shared" si="428"/>
        <v>1910.3999999999999</v>
      </c>
      <c r="AT139" s="105">
        <v>0</v>
      </c>
      <c r="AU139" s="105">
        <v>0</v>
      </c>
      <c r="AV139" s="129">
        <f>1810.8+99.6</f>
        <v>1910.3999999999999</v>
      </c>
      <c r="AW139" s="130">
        <v>0</v>
      </c>
      <c r="AX139" s="99">
        <f t="shared" si="429"/>
        <v>1910.3999999999999</v>
      </c>
      <c r="AY139" s="105">
        <v>0</v>
      </c>
      <c r="AZ139" s="105">
        <v>0</v>
      </c>
      <c r="BA139" s="129">
        <f>1810.8+99.6</f>
        <v>1910.3999999999999</v>
      </c>
      <c r="BB139" s="130">
        <v>0</v>
      </c>
    </row>
    <row r="140" spans="1:54" ht="93.75" outlineLevel="3" x14ac:dyDescent="0.25">
      <c r="A140" s="126" t="s">
        <v>126</v>
      </c>
      <c r="B140" s="127" t="s">
        <v>470</v>
      </c>
      <c r="C140" s="106" t="s">
        <v>67</v>
      </c>
      <c r="D140" s="102" t="s">
        <v>36</v>
      </c>
      <c r="E140" s="103">
        <f t="shared" si="409"/>
        <v>27871.9</v>
      </c>
      <c r="F140" s="104">
        <f t="shared" si="410"/>
        <v>0</v>
      </c>
      <c r="G140" s="104">
        <f t="shared" si="410"/>
        <v>0</v>
      </c>
      <c r="H140" s="104">
        <f t="shared" si="380"/>
        <v>27871.9</v>
      </c>
      <c r="I140" s="104">
        <f t="shared" si="411"/>
        <v>0</v>
      </c>
      <c r="J140" s="99">
        <f t="shared" si="412"/>
        <v>3142.6</v>
      </c>
      <c r="K140" s="105">
        <v>0</v>
      </c>
      <c r="L140" s="105">
        <v>0</v>
      </c>
      <c r="M140" s="105">
        <f>2955.1+187.5</f>
        <v>3142.6</v>
      </c>
      <c r="N140" s="105">
        <v>0</v>
      </c>
      <c r="O140" s="99">
        <f t="shared" si="413"/>
        <v>2955.1</v>
      </c>
      <c r="P140" s="105">
        <v>0</v>
      </c>
      <c r="Q140" s="105">
        <v>0</v>
      </c>
      <c r="R140" s="105">
        <f>3623.5-668.4</f>
        <v>2955.1</v>
      </c>
      <c r="S140" s="105">
        <v>0</v>
      </c>
      <c r="T140" s="99">
        <f t="shared" si="414"/>
        <v>3006.7999999999997</v>
      </c>
      <c r="U140" s="105">
        <v>0</v>
      </c>
      <c r="V140" s="105">
        <v>0</v>
      </c>
      <c r="W140" s="105">
        <f>3623.5-668.4+51.7</f>
        <v>3006.7999999999997</v>
      </c>
      <c r="X140" s="105">
        <v>0</v>
      </c>
      <c r="Y140" s="99">
        <f t="shared" si="424"/>
        <v>3079.2</v>
      </c>
      <c r="Z140" s="105">
        <v>0</v>
      </c>
      <c r="AA140" s="105">
        <v>0</v>
      </c>
      <c r="AB140" s="104">
        <v>3079.2</v>
      </c>
      <c r="AC140" s="105">
        <v>0</v>
      </c>
      <c r="AD140" s="99">
        <f t="shared" si="425"/>
        <v>3079.2</v>
      </c>
      <c r="AE140" s="105">
        <v>0</v>
      </c>
      <c r="AF140" s="105">
        <v>0</v>
      </c>
      <c r="AG140" s="104">
        <v>3079.2</v>
      </c>
      <c r="AH140" s="105">
        <v>0</v>
      </c>
      <c r="AI140" s="99">
        <f t="shared" si="426"/>
        <v>3359.5000000000005</v>
      </c>
      <c r="AJ140" s="105">
        <v>0</v>
      </c>
      <c r="AK140" s="105">
        <v>0</v>
      </c>
      <c r="AL140" s="104">
        <f>3202.4+40.8+116.3</f>
        <v>3359.5000000000005</v>
      </c>
      <c r="AM140" s="105">
        <v>0</v>
      </c>
      <c r="AN140" s="99">
        <f t="shared" si="427"/>
        <v>3029.1000000000004</v>
      </c>
      <c r="AO140" s="105">
        <v>0</v>
      </c>
      <c r="AP140" s="105">
        <v>0</v>
      </c>
      <c r="AQ140" s="129">
        <f>3672.4-643.3</f>
        <v>3029.1000000000004</v>
      </c>
      <c r="AR140" s="130">
        <v>0</v>
      </c>
      <c r="AS140" s="99">
        <f t="shared" si="428"/>
        <v>3110.2</v>
      </c>
      <c r="AT140" s="105">
        <v>0</v>
      </c>
      <c r="AU140" s="105">
        <v>0</v>
      </c>
      <c r="AV140" s="129">
        <f>3672.4-562.2</f>
        <v>3110.2</v>
      </c>
      <c r="AW140" s="130">
        <v>0</v>
      </c>
      <c r="AX140" s="99">
        <f t="shared" si="429"/>
        <v>3110.2</v>
      </c>
      <c r="AY140" s="105">
        <v>0</v>
      </c>
      <c r="AZ140" s="105">
        <v>0</v>
      </c>
      <c r="BA140" s="129">
        <f>3672.4-562.2</f>
        <v>3110.2</v>
      </c>
      <c r="BB140" s="130">
        <v>0</v>
      </c>
    </row>
    <row r="141" spans="1:54" ht="93.75" outlineLevel="3" x14ac:dyDescent="0.25">
      <c r="A141" s="126" t="s">
        <v>127</v>
      </c>
      <c r="B141" s="127" t="s">
        <v>471</v>
      </c>
      <c r="C141" s="106" t="s">
        <v>67</v>
      </c>
      <c r="D141" s="102" t="s">
        <v>36</v>
      </c>
      <c r="E141" s="103">
        <f t="shared" si="409"/>
        <v>40342.699999999997</v>
      </c>
      <c r="F141" s="104">
        <f t="shared" si="410"/>
        <v>0</v>
      </c>
      <c r="G141" s="104">
        <f t="shared" si="410"/>
        <v>0</v>
      </c>
      <c r="H141" s="104">
        <f t="shared" si="380"/>
        <v>40342.699999999997</v>
      </c>
      <c r="I141" s="104">
        <f t="shared" si="411"/>
        <v>0</v>
      </c>
      <c r="J141" s="99">
        <f t="shared" si="412"/>
        <v>3669.9</v>
      </c>
      <c r="K141" s="105">
        <v>0</v>
      </c>
      <c r="L141" s="105">
        <v>0</v>
      </c>
      <c r="M141" s="105">
        <v>3669.9</v>
      </c>
      <c r="N141" s="105">
        <v>0</v>
      </c>
      <c r="O141" s="99">
        <f t="shared" si="413"/>
        <v>3904.8</v>
      </c>
      <c r="P141" s="105">
        <v>0</v>
      </c>
      <c r="Q141" s="105">
        <v>0</v>
      </c>
      <c r="R141" s="105">
        <f>3670+234.8</f>
        <v>3904.8</v>
      </c>
      <c r="S141" s="105">
        <v>0</v>
      </c>
      <c r="T141" s="99">
        <f t="shared" si="414"/>
        <v>4229.4000000000005</v>
      </c>
      <c r="U141" s="105">
        <v>0</v>
      </c>
      <c r="V141" s="105">
        <v>0</v>
      </c>
      <c r="W141" s="105">
        <f>3670+486.6+72.8</f>
        <v>4229.4000000000005</v>
      </c>
      <c r="X141" s="105">
        <v>0</v>
      </c>
      <c r="Y141" s="99">
        <f t="shared" ref="Y141:Y148" si="430">SUM(Z141:AC141)</f>
        <v>4331.2</v>
      </c>
      <c r="Z141" s="105">
        <v>0</v>
      </c>
      <c r="AA141" s="105">
        <v>0</v>
      </c>
      <c r="AB141" s="104">
        <v>4331.2</v>
      </c>
      <c r="AC141" s="105">
        <v>0</v>
      </c>
      <c r="AD141" s="99">
        <f t="shared" ref="AD141:AD148" si="431">SUM(AE141:AH141)</f>
        <v>4331.2</v>
      </c>
      <c r="AE141" s="105">
        <v>0</v>
      </c>
      <c r="AF141" s="105">
        <v>0</v>
      </c>
      <c r="AG141" s="104">
        <v>4331.2</v>
      </c>
      <c r="AH141" s="105">
        <v>0</v>
      </c>
      <c r="AI141" s="99">
        <f t="shared" ref="AI141:AI148" si="432">SUM(AJ141:AM141)</f>
        <v>4504.5</v>
      </c>
      <c r="AJ141" s="105">
        <v>0</v>
      </c>
      <c r="AK141" s="105">
        <v>0</v>
      </c>
      <c r="AL141" s="104">
        <v>4504.5</v>
      </c>
      <c r="AM141" s="105">
        <v>0</v>
      </c>
      <c r="AN141" s="99">
        <f t="shared" ref="AN141:AN148" si="433">SUM(AO141:AR141)</f>
        <v>4818.3</v>
      </c>
      <c r="AO141" s="105">
        <v>0</v>
      </c>
      <c r="AP141" s="105">
        <v>0</v>
      </c>
      <c r="AQ141" s="129">
        <f>4504.5+123.8+190</f>
        <v>4818.3</v>
      </c>
      <c r="AR141" s="130">
        <v>0</v>
      </c>
      <c r="AS141" s="99">
        <f t="shared" ref="AS141:AS148" si="434">SUM(AT141:AW141)</f>
        <v>5276.7</v>
      </c>
      <c r="AT141" s="105">
        <v>0</v>
      </c>
      <c r="AU141" s="105">
        <v>0</v>
      </c>
      <c r="AV141" s="129">
        <f>4504.5+247.7+524.5</f>
        <v>5276.7</v>
      </c>
      <c r="AW141" s="130">
        <v>0</v>
      </c>
      <c r="AX141" s="99">
        <f t="shared" ref="AX141:AX148" si="435">SUM(AY141:BB141)</f>
        <v>5276.7</v>
      </c>
      <c r="AY141" s="105">
        <v>0</v>
      </c>
      <c r="AZ141" s="105">
        <v>0</v>
      </c>
      <c r="BA141" s="129">
        <f>4504.5+247.7+524.5</f>
        <v>5276.7</v>
      </c>
      <c r="BB141" s="130">
        <v>0</v>
      </c>
    </row>
    <row r="142" spans="1:54" ht="93.75" outlineLevel="3" x14ac:dyDescent="0.25">
      <c r="A142" s="126" t="s">
        <v>128</v>
      </c>
      <c r="B142" s="127" t="s">
        <v>472</v>
      </c>
      <c r="C142" s="106" t="s">
        <v>67</v>
      </c>
      <c r="D142" s="102" t="s">
        <v>36</v>
      </c>
      <c r="E142" s="103">
        <f t="shared" si="409"/>
        <v>35845.799999999996</v>
      </c>
      <c r="F142" s="104">
        <f t="shared" si="410"/>
        <v>0</v>
      </c>
      <c r="G142" s="104">
        <f t="shared" si="410"/>
        <v>0</v>
      </c>
      <c r="H142" s="104">
        <f t="shared" si="380"/>
        <v>35845.799999999996</v>
      </c>
      <c r="I142" s="104">
        <f t="shared" si="411"/>
        <v>0</v>
      </c>
      <c r="J142" s="99">
        <f t="shared" si="412"/>
        <v>3966</v>
      </c>
      <c r="K142" s="105">
        <v>0</v>
      </c>
      <c r="L142" s="105">
        <v>0</v>
      </c>
      <c r="M142" s="105">
        <f>3965.9+0.1</f>
        <v>3966</v>
      </c>
      <c r="N142" s="105">
        <v>0</v>
      </c>
      <c r="O142" s="99">
        <f t="shared" si="413"/>
        <v>3705.4</v>
      </c>
      <c r="P142" s="105">
        <v>0</v>
      </c>
      <c r="Q142" s="105">
        <v>0</v>
      </c>
      <c r="R142" s="105">
        <f>3966-260.6</f>
        <v>3705.4</v>
      </c>
      <c r="S142" s="105">
        <v>0</v>
      </c>
      <c r="T142" s="99">
        <f t="shared" si="414"/>
        <v>3565.1</v>
      </c>
      <c r="U142" s="105">
        <v>0</v>
      </c>
      <c r="V142" s="105">
        <v>0</v>
      </c>
      <c r="W142" s="105">
        <f>3503.7+61.4</f>
        <v>3565.1</v>
      </c>
      <c r="X142" s="105">
        <v>0</v>
      </c>
      <c r="Y142" s="99">
        <f t="shared" si="430"/>
        <v>3650.9</v>
      </c>
      <c r="Z142" s="105">
        <v>0</v>
      </c>
      <c r="AA142" s="105">
        <v>0</v>
      </c>
      <c r="AB142" s="104">
        <v>3650.9</v>
      </c>
      <c r="AC142" s="105">
        <v>0</v>
      </c>
      <c r="AD142" s="99">
        <f t="shared" si="431"/>
        <v>3650.9</v>
      </c>
      <c r="AE142" s="105">
        <v>0</v>
      </c>
      <c r="AF142" s="105">
        <v>0</v>
      </c>
      <c r="AG142" s="104">
        <v>3650.9</v>
      </c>
      <c r="AH142" s="105">
        <v>0</v>
      </c>
      <c r="AI142" s="99">
        <f t="shared" si="432"/>
        <v>3848.3</v>
      </c>
      <c r="AJ142" s="105">
        <v>0</v>
      </c>
      <c r="AK142" s="105">
        <v>0</v>
      </c>
      <c r="AL142" s="104">
        <f>3796.9+51.4</f>
        <v>3848.3</v>
      </c>
      <c r="AM142" s="105">
        <v>0</v>
      </c>
      <c r="AN142" s="99">
        <f t="shared" si="433"/>
        <v>4950.8</v>
      </c>
      <c r="AO142" s="105">
        <v>0</v>
      </c>
      <c r="AP142" s="105">
        <v>0</v>
      </c>
      <c r="AQ142" s="129">
        <f>3796.9+186.9+109.5+857.5</f>
        <v>4950.8</v>
      </c>
      <c r="AR142" s="130">
        <v>0</v>
      </c>
      <c r="AS142" s="99">
        <f t="shared" si="434"/>
        <v>4467.3</v>
      </c>
      <c r="AT142" s="105">
        <v>0</v>
      </c>
      <c r="AU142" s="105">
        <v>0</v>
      </c>
      <c r="AV142" s="129">
        <f>3796.9+186.9+219.1+264.4</f>
        <v>4467.3</v>
      </c>
      <c r="AW142" s="130">
        <v>0</v>
      </c>
      <c r="AX142" s="99">
        <f t="shared" si="435"/>
        <v>4041.1000000000004</v>
      </c>
      <c r="AY142" s="105">
        <v>0</v>
      </c>
      <c r="AZ142" s="105">
        <v>0</v>
      </c>
      <c r="BA142" s="129">
        <f>3796.9+186.9+219.1-161.8</f>
        <v>4041.1000000000004</v>
      </c>
      <c r="BB142" s="130">
        <v>0</v>
      </c>
    </row>
    <row r="143" spans="1:54" ht="93.75" outlineLevel="3" x14ac:dyDescent="0.25">
      <c r="A143" s="126" t="s">
        <v>129</v>
      </c>
      <c r="B143" s="127" t="s">
        <v>473</v>
      </c>
      <c r="C143" s="106" t="s">
        <v>67</v>
      </c>
      <c r="D143" s="102" t="s">
        <v>36</v>
      </c>
      <c r="E143" s="103">
        <f t="shared" si="409"/>
        <v>19768.7</v>
      </c>
      <c r="F143" s="104">
        <f t="shared" si="410"/>
        <v>0</v>
      </c>
      <c r="G143" s="104">
        <f t="shared" si="410"/>
        <v>0</v>
      </c>
      <c r="H143" s="104">
        <f t="shared" si="380"/>
        <v>19768.7</v>
      </c>
      <c r="I143" s="104">
        <f t="shared" si="411"/>
        <v>0</v>
      </c>
      <c r="J143" s="99">
        <f t="shared" si="412"/>
        <v>2097.1000000000004</v>
      </c>
      <c r="K143" s="105">
        <v>0</v>
      </c>
      <c r="L143" s="105">
        <v>0</v>
      </c>
      <c r="M143" s="105">
        <f>2200.8-103.7</f>
        <v>2097.1000000000004</v>
      </c>
      <c r="N143" s="105">
        <v>0</v>
      </c>
      <c r="O143" s="99">
        <f t="shared" si="413"/>
        <v>2058.4</v>
      </c>
      <c r="P143" s="105">
        <v>0</v>
      </c>
      <c r="Q143" s="105">
        <v>0</v>
      </c>
      <c r="R143" s="105">
        <v>2058.4</v>
      </c>
      <c r="S143" s="105">
        <v>0</v>
      </c>
      <c r="T143" s="99">
        <f t="shared" si="414"/>
        <v>2094.4</v>
      </c>
      <c r="U143" s="105">
        <v>0</v>
      </c>
      <c r="V143" s="105">
        <v>0</v>
      </c>
      <c r="W143" s="105">
        <f>2058.4+36</f>
        <v>2094.4</v>
      </c>
      <c r="X143" s="105">
        <v>0</v>
      </c>
      <c r="Y143" s="99">
        <f t="shared" si="430"/>
        <v>2144.8000000000002</v>
      </c>
      <c r="Z143" s="105">
        <v>0</v>
      </c>
      <c r="AA143" s="105">
        <v>0</v>
      </c>
      <c r="AB143" s="104">
        <v>2144.8000000000002</v>
      </c>
      <c r="AC143" s="105">
        <v>0</v>
      </c>
      <c r="AD143" s="99">
        <f t="shared" si="431"/>
        <v>2144.8000000000002</v>
      </c>
      <c r="AE143" s="105">
        <v>0</v>
      </c>
      <c r="AF143" s="105">
        <v>0</v>
      </c>
      <c r="AG143" s="104">
        <v>2144.8000000000002</v>
      </c>
      <c r="AH143" s="105">
        <v>0</v>
      </c>
      <c r="AI143" s="99">
        <f t="shared" si="432"/>
        <v>2230.6</v>
      </c>
      <c r="AJ143" s="105">
        <v>0</v>
      </c>
      <c r="AK143" s="105">
        <v>0</v>
      </c>
      <c r="AL143" s="104">
        <v>2230.6</v>
      </c>
      <c r="AM143" s="105">
        <v>0</v>
      </c>
      <c r="AN143" s="99">
        <f t="shared" si="433"/>
        <v>2292</v>
      </c>
      <c r="AO143" s="105">
        <v>0</v>
      </c>
      <c r="AP143" s="105">
        <v>0</v>
      </c>
      <c r="AQ143" s="129">
        <f>2230.6+61.4</f>
        <v>2292</v>
      </c>
      <c r="AR143" s="130">
        <v>0</v>
      </c>
      <c r="AS143" s="99">
        <f t="shared" si="434"/>
        <v>2353.2999999999997</v>
      </c>
      <c r="AT143" s="105">
        <v>0</v>
      </c>
      <c r="AU143" s="105">
        <v>0</v>
      </c>
      <c r="AV143" s="129">
        <f>2230.6+122.7</f>
        <v>2353.2999999999997</v>
      </c>
      <c r="AW143" s="130">
        <v>0</v>
      </c>
      <c r="AX143" s="99">
        <f t="shared" si="435"/>
        <v>2353.2999999999997</v>
      </c>
      <c r="AY143" s="105">
        <v>0</v>
      </c>
      <c r="AZ143" s="105">
        <v>0</v>
      </c>
      <c r="BA143" s="129">
        <f>2230.6+122.7</f>
        <v>2353.2999999999997</v>
      </c>
      <c r="BB143" s="130">
        <v>0</v>
      </c>
    </row>
    <row r="144" spans="1:54" ht="93.75" outlineLevel="3" x14ac:dyDescent="0.25">
      <c r="A144" s="126" t="s">
        <v>130</v>
      </c>
      <c r="B144" s="127" t="s">
        <v>474</v>
      </c>
      <c r="C144" s="106" t="s">
        <v>67</v>
      </c>
      <c r="D144" s="102" t="s">
        <v>36</v>
      </c>
      <c r="E144" s="103">
        <f t="shared" si="409"/>
        <v>34745.5</v>
      </c>
      <c r="F144" s="104">
        <f t="shared" si="410"/>
        <v>0</v>
      </c>
      <c r="G144" s="104">
        <f t="shared" si="410"/>
        <v>0</v>
      </c>
      <c r="H144" s="104">
        <f t="shared" si="380"/>
        <v>34745.5</v>
      </c>
      <c r="I144" s="104">
        <f t="shared" si="411"/>
        <v>0</v>
      </c>
      <c r="J144" s="99">
        <f t="shared" si="412"/>
        <v>3491.9</v>
      </c>
      <c r="K144" s="105">
        <v>0</v>
      </c>
      <c r="L144" s="105">
        <v>0</v>
      </c>
      <c r="M144" s="105">
        <f>2869.5+325.3+297.1</f>
        <v>3491.9</v>
      </c>
      <c r="N144" s="105">
        <v>0</v>
      </c>
      <c r="O144" s="99">
        <f t="shared" si="413"/>
        <v>3640.4</v>
      </c>
      <c r="P144" s="105">
        <v>0</v>
      </c>
      <c r="Q144" s="105">
        <v>0</v>
      </c>
      <c r="R144" s="105">
        <v>3640.4</v>
      </c>
      <c r="S144" s="105">
        <v>0</v>
      </c>
      <c r="T144" s="99">
        <f t="shared" si="414"/>
        <v>3704.1</v>
      </c>
      <c r="U144" s="105">
        <v>0</v>
      </c>
      <c r="V144" s="105">
        <v>0</v>
      </c>
      <c r="W144" s="105">
        <f>3640.4+63.7</f>
        <v>3704.1</v>
      </c>
      <c r="X144" s="105">
        <v>0</v>
      </c>
      <c r="Y144" s="99">
        <f t="shared" si="430"/>
        <v>3793.3</v>
      </c>
      <c r="Z144" s="105">
        <v>0</v>
      </c>
      <c r="AA144" s="105">
        <v>0</v>
      </c>
      <c r="AB144" s="104">
        <v>3793.3</v>
      </c>
      <c r="AC144" s="105">
        <v>0</v>
      </c>
      <c r="AD144" s="99">
        <f t="shared" si="431"/>
        <v>3793.3</v>
      </c>
      <c r="AE144" s="105">
        <v>0</v>
      </c>
      <c r="AF144" s="105">
        <v>0</v>
      </c>
      <c r="AG144" s="104">
        <v>3793.3</v>
      </c>
      <c r="AH144" s="105">
        <v>0</v>
      </c>
      <c r="AI144" s="99">
        <f t="shared" si="432"/>
        <v>3945</v>
      </c>
      <c r="AJ144" s="105">
        <v>0</v>
      </c>
      <c r="AK144" s="105">
        <v>0</v>
      </c>
      <c r="AL144" s="104">
        <v>3945</v>
      </c>
      <c r="AM144" s="105">
        <v>0</v>
      </c>
      <c r="AN144" s="99">
        <f t="shared" si="433"/>
        <v>4053.5</v>
      </c>
      <c r="AO144" s="105">
        <v>0</v>
      </c>
      <c r="AP144" s="105">
        <v>0</v>
      </c>
      <c r="AQ144" s="129">
        <f>3945+108.5</f>
        <v>4053.5</v>
      </c>
      <c r="AR144" s="130">
        <v>0</v>
      </c>
      <c r="AS144" s="99">
        <f t="shared" si="434"/>
        <v>4162</v>
      </c>
      <c r="AT144" s="105">
        <v>0</v>
      </c>
      <c r="AU144" s="105">
        <v>0</v>
      </c>
      <c r="AV144" s="129">
        <f>3945+217</f>
        <v>4162</v>
      </c>
      <c r="AW144" s="130">
        <v>0</v>
      </c>
      <c r="AX144" s="99">
        <f t="shared" si="435"/>
        <v>4162</v>
      </c>
      <c r="AY144" s="105">
        <v>0</v>
      </c>
      <c r="AZ144" s="105">
        <v>0</v>
      </c>
      <c r="BA144" s="129">
        <f>3945+217</f>
        <v>4162</v>
      </c>
      <c r="BB144" s="130">
        <v>0</v>
      </c>
    </row>
    <row r="145" spans="1:54" ht="93.75" outlineLevel="3" x14ac:dyDescent="0.25">
      <c r="A145" s="126" t="s">
        <v>131</v>
      </c>
      <c r="B145" s="127" t="s">
        <v>475</v>
      </c>
      <c r="C145" s="106" t="s">
        <v>67</v>
      </c>
      <c r="D145" s="102" t="s">
        <v>36</v>
      </c>
      <c r="E145" s="103">
        <f t="shared" si="409"/>
        <v>18564.199999999997</v>
      </c>
      <c r="F145" s="104">
        <f t="shared" si="410"/>
        <v>0</v>
      </c>
      <c r="G145" s="104">
        <f t="shared" si="410"/>
        <v>0</v>
      </c>
      <c r="H145" s="104">
        <f t="shared" si="380"/>
        <v>18564.199999999997</v>
      </c>
      <c r="I145" s="104">
        <f t="shared" si="411"/>
        <v>0</v>
      </c>
      <c r="J145" s="99">
        <f t="shared" si="412"/>
        <v>2567</v>
      </c>
      <c r="K145" s="105">
        <v>0</v>
      </c>
      <c r="L145" s="105">
        <v>0</v>
      </c>
      <c r="M145" s="105">
        <f>2704.1-424.4+287.3</f>
        <v>2567</v>
      </c>
      <c r="N145" s="105">
        <v>0</v>
      </c>
      <c r="O145" s="99">
        <f t="shared" si="413"/>
        <v>2565.9</v>
      </c>
      <c r="P145" s="105">
        <v>0</v>
      </c>
      <c r="Q145" s="105">
        <v>0</v>
      </c>
      <c r="R145" s="105">
        <v>2565.9</v>
      </c>
      <c r="S145" s="105">
        <v>0</v>
      </c>
      <c r="T145" s="99">
        <f t="shared" si="414"/>
        <v>2202.7000000000003</v>
      </c>
      <c r="U145" s="105">
        <v>0</v>
      </c>
      <c r="V145" s="105">
        <v>0</v>
      </c>
      <c r="W145" s="105">
        <f>2565.9-363.2</f>
        <v>2202.7000000000003</v>
      </c>
      <c r="X145" s="105">
        <v>0</v>
      </c>
      <c r="Y145" s="99">
        <f t="shared" si="430"/>
        <v>2010.4</v>
      </c>
      <c r="Z145" s="105">
        <v>0</v>
      </c>
      <c r="AA145" s="105">
        <v>0</v>
      </c>
      <c r="AB145" s="104">
        <v>2010.4</v>
      </c>
      <c r="AC145" s="105">
        <v>0</v>
      </c>
      <c r="AD145" s="99">
        <f t="shared" si="431"/>
        <v>2010.4</v>
      </c>
      <c r="AE145" s="105">
        <v>0</v>
      </c>
      <c r="AF145" s="105">
        <v>0</v>
      </c>
      <c r="AG145" s="104">
        <v>2010.4</v>
      </c>
      <c r="AH145" s="105">
        <v>0</v>
      </c>
      <c r="AI145" s="99">
        <f t="shared" si="432"/>
        <v>2090.8000000000002</v>
      </c>
      <c r="AJ145" s="105">
        <v>0</v>
      </c>
      <c r="AK145" s="105">
        <v>0</v>
      </c>
      <c r="AL145" s="104">
        <v>2090.8000000000002</v>
      </c>
      <c r="AM145" s="105">
        <v>0</v>
      </c>
      <c r="AN145" s="99">
        <f t="shared" si="433"/>
        <v>1675.8000000000002</v>
      </c>
      <c r="AO145" s="105">
        <v>0</v>
      </c>
      <c r="AP145" s="105">
        <v>0</v>
      </c>
      <c r="AQ145" s="129">
        <f>2090.8-415</f>
        <v>1675.8000000000002</v>
      </c>
      <c r="AR145" s="130">
        <v>0</v>
      </c>
      <c r="AS145" s="99">
        <f t="shared" si="434"/>
        <v>1720.6000000000001</v>
      </c>
      <c r="AT145" s="105">
        <v>0</v>
      </c>
      <c r="AU145" s="105">
        <v>0</v>
      </c>
      <c r="AV145" s="129">
        <f>2090.8-370.2</f>
        <v>1720.6000000000001</v>
      </c>
      <c r="AW145" s="130">
        <v>0</v>
      </c>
      <c r="AX145" s="99">
        <f t="shared" si="435"/>
        <v>1720.6000000000001</v>
      </c>
      <c r="AY145" s="105">
        <v>0</v>
      </c>
      <c r="AZ145" s="105">
        <v>0</v>
      </c>
      <c r="BA145" s="129">
        <f>2090.8-370.2</f>
        <v>1720.6000000000001</v>
      </c>
      <c r="BB145" s="130">
        <v>0</v>
      </c>
    </row>
    <row r="146" spans="1:54" ht="93.75" outlineLevel="3" x14ac:dyDescent="0.25">
      <c r="A146" s="126" t="s">
        <v>132</v>
      </c>
      <c r="B146" s="127" t="s">
        <v>477</v>
      </c>
      <c r="C146" s="106" t="s">
        <v>67</v>
      </c>
      <c r="D146" s="102" t="s">
        <v>36</v>
      </c>
      <c r="E146" s="103">
        <f t="shared" si="409"/>
        <v>14606.300000000001</v>
      </c>
      <c r="F146" s="104">
        <f t="shared" si="410"/>
        <v>0</v>
      </c>
      <c r="G146" s="104">
        <f t="shared" si="410"/>
        <v>0</v>
      </c>
      <c r="H146" s="104">
        <f t="shared" si="380"/>
        <v>14606.300000000001</v>
      </c>
      <c r="I146" s="104">
        <f t="shared" si="411"/>
        <v>0</v>
      </c>
      <c r="J146" s="99">
        <f t="shared" si="412"/>
        <v>1228.7</v>
      </c>
      <c r="K146" s="105">
        <v>0</v>
      </c>
      <c r="L146" s="105">
        <v>0</v>
      </c>
      <c r="M146" s="105">
        <v>1228.7</v>
      </c>
      <c r="N146" s="105">
        <v>0</v>
      </c>
      <c r="O146" s="99">
        <f t="shared" si="413"/>
        <v>1449.3</v>
      </c>
      <c r="P146" s="105">
        <v>0</v>
      </c>
      <c r="Q146" s="105">
        <v>0</v>
      </c>
      <c r="R146" s="105">
        <f>1228.7+220.6</f>
        <v>1449.3</v>
      </c>
      <c r="S146" s="105">
        <v>0</v>
      </c>
      <c r="T146" s="99">
        <f t="shared" si="414"/>
        <v>1600.1</v>
      </c>
      <c r="U146" s="105">
        <v>0</v>
      </c>
      <c r="V146" s="105">
        <v>0</v>
      </c>
      <c r="W146" s="105">
        <f>1228.7+343.9+27.5</f>
        <v>1600.1</v>
      </c>
      <c r="X146" s="105">
        <v>0</v>
      </c>
      <c r="Y146" s="99">
        <f t="shared" si="430"/>
        <v>1638.6</v>
      </c>
      <c r="Z146" s="105">
        <v>0</v>
      </c>
      <c r="AA146" s="105">
        <v>0</v>
      </c>
      <c r="AB146" s="104">
        <v>1638.6</v>
      </c>
      <c r="AC146" s="105">
        <v>0</v>
      </c>
      <c r="AD146" s="99">
        <f t="shared" si="431"/>
        <v>1638.6</v>
      </c>
      <c r="AE146" s="105">
        <v>0</v>
      </c>
      <c r="AF146" s="105">
        <v>0</v>
      </c>
      <c r="AG146" s="104">
        <v>1638.6</v>
      </c>
      <c r="AH146" s="105">
        <v>0</v>
      </c>
      <c r="AI146" s="99">
        <f t="shared" si="432"/>
        <v>1704.2</v>
      </c>
      <c r="AJ146" s="105">
        <v>0</v>
      </c>
      <c r="AK146" s="105">
        <v>0</v>
      </c>
      <c r="AL146" s="104">
        <v>1704.2</v>
      </c>
      <c r="AM146" s="105">
        <v>0</v>
      </c>
      <c r="AN146" s="99">
        <f t="shared" si="433"/>
        <v>1751</v>
      </c>
      <c r="AO146" s="105">
        <v>0</v>
      </c>
      <c r="AP146" s="105">
        <v>0</v>
      </c>
      <c r="AQ146" s="129">
        <f>1704.2+46.8</f>
        <v>1751</v>
      </c>
      <c r="AR146" s="130">
        <v>0</v>
      </c>
      <c r="AS146" s="99">
        <f t="shared" si="434"/>
        <v>1797.9</v>
      </c>
      <c r="AT146" s="105">
        <v>0</v>
      </c>
      <c r="AU146" s="105">
        <v>0</v>
      </c>
      <c r="AV146" s="129">
        <f>1704.2+93.7</f>
        <v>1797.9</v>
      </c>
      <c r="AW146" s="130">
        <v>0</v>
      </c>
      <c r="AX146" s="99">
        <f t="shared" si="435"/>
        <v>1797.9</v>
      </c>
      <c r="AY146" s="105">
        <v>0</v>
      </c>
      <c r="AZ146" s="105">
        <v>0</v>
      </c>
      <c r="BA146" s="129">
        <f>1704.2+93.7</f>
        <v>1797.9</v>
      </c>
      <c r="BB146" s="130">
        <v>0</v>
      </c>
    </row>
    <row r="147" spans="1:54" ht="93.75" outlineLevel="3" x14ac:dyDescent="0.25">
      <c r="A147" s="126" t="s">
        <v>133</v>
      </c>
      <c r="B147" s="127" t="s">
        <v>478</v>
      </c>
      <c r="C147" s="106" t="s">
        <v>67</v>
      </c>
      <c r="D147" s="102" t="s">
        <v>36</v>
      </c>
      <c r="E147" s="103">
        <f t="shared" si="409"/>
        <v>23660.800000000003</v>
      </c>
      <c r="F147" s="104">
        <f t="shared" si="410"/>
        <v>0</v>
      </c>
      <c r="G147" s="104">
        <f t="shared" si="410"/>
        <v>0</v>
      </c>
      <c r="H147" s="104">
        <f t="shared" si="380"/>
        <v>23660.800000000003</v>
      </c>
      <c r="I147" s="104">
        <f t="shared" si="411"/>
        <v>0</v>
      </c>
      <c r="J147" s="99">
        <f t="shared" si="412"/>
        <v>3392.6</v>
      </c>
      <c r="K147" s="105">
        <v>0</v>
      </c>
      <c r="L147" s="105">
        <v>0</v>
      </c>
      <c r="M147" s="105">
        <f>2669.7+722.9</f>
        <v>3392.6</v>
      </c>
      <c r="N147" s="105">
        <v>0</v>
      </c>
      <c r="O147" s="99">
        <f t="shared" si="413"/>
        <v>3392.6</v>
      </c>
      <c r="P147" s="105">
        <v>0</v>
      </c>
      <c r="Q147" s="105">
        <v>0</v>
      </c>
      <c r="R147" s="105">
        <v>3392.6</v>
      </c>
      <c r="S147" s="105">
        <v>0</v>
      </c>
      <c r="T147" s="99">
        <f t="shared" si="414"/>
        <v>3451.9</v>
      </c>
      <c r="U147" s="105">
        <v>0</v>
      </c>
      <c r="V147" s="105">
        <v>0</v>
      </c>
      <c r="W147" s="105">
        <f>3392.6+59.3</f>
        <v>3451.9</v>
      </c>
      <c r="X147" s="105">
        <v>0</v>
      </c>
      <c r="Y147" s="99">
        <f t="shared" si="430"/>
        <v>3393.3</v>
      </c>
      <c r="Z147" s="105">
        <v>0</v>
      </c>
      <c r="AA147" s="105">
        <v>0</v>
      </c>
      <c r="AB147" s="104">
        <v>3393.3</v>
      </c>
      <c r="AC147" s="105">
        <v>0</v>
      </c>
      <c r="AD147" s="99">
        <f t="shared" si="431"/>
        <v>2338.1</v>
      </c>
      <c r="AE147" s="105">
        <v>0</v>
      </c>
      <c r="AF147" s="105">
        <v>0</v>
      </c>
      <c r="AG147" s="104">
        <f>2781.9-443.8</f>
        <v>2338.1</v>
      </c>
      <c r="AH147" s="105">
        <v>0</v>
      </c>
      <c r="AI147" s="99">
        <f t="shared" si="432"/>
        <v>1859.2</v>
      </c>
      <c r="AJ147" s="105">
        <v>0</v>
      </c>
      <c r="AK147" s="105">
        <v>0</v>
      </c>
      <c r="AL147" s="104">
        <v>1859.2</v>
      </c>
      <c r="AM147" s="105">
        <v>0</v>
      </c>
      <c r="AN147" s="99">
        <f t="shared" si="433"/>
        <v>1910.3</v>
      </c>
      <c r="AO147" s="105">
        <v>0</v>
      </c>
      <c r="AP147" s="105">
        <v>0</v>
      </c>
      <c r="AQ147" s="129">
        <f>1859.2+51.1</f>
        <v>1910.3</v>
      </c>
      <c r="AR147" s="130">
        <v>0</v>
      </c>
      <c r="AS147" s="99">
        <f t="shared" si="434"/>
        <v>1961.4</v>
      </c>
      <c r="AT147" s="105">
        <v>0</v>
      </c>
      <c r="AU147" s="105">
        <v>0</v>
      </c>
      <c r="AV147" s="129">
        <f>1859.2+102.2</f>
        <v>1961.4</v>
      </c>
      <c r="AW147" s="130">
        <v>0</v>
      </c>
      <c r="AX147" s="99">
        <f t="shared" si="435"/>
        <v>1961.4</v>
      </c>
      <c r="AY147" s="105">
        <v>0</v>
      </c>
      <c r="AZ147" s="105">
        <v>0</v>
      </c>
      <c r="BA147" s="129">
        <f>1859.2+102.2</f>
        <v>1961.4</v>
      </c>
      <c r="BB147" s="130">
        <v>0</v>
      </c>
    </row>
    <row r="148" spans="1:54" ht="93.75" outlineLevel="3" x14ac:dyDescent="0.25">
      <c r="A148" s="126" t="s">
        <v>154</v>
      </c>
      <c r="B148" s="127" t="s">
        <v>479</v>
      </c>
      <c r="C148" s="106" t="s">
        <v>67</v>
      </c>
      <c r="D148" s="102" t="s">
        <v>36</v>
      </c>
      <c r="E148" s="103">
        <f t="shared" si="409"/>
        <v>8110.4000000000005</v>
      </c>
      <c r="F148" s="104">
        <f t="shared" si="410"/>
        <v>0</v>
      </c>
      <c r="G148" s="104">
        <f t="shared" si="410"/>
        <v>0</v>
      </c>
      <c r="H148" s="104">
        <f t="shared" si="380"/>
        <v>8110.4000000000005</v>
      </c>
      <c r="I148" s="104">
        <f t="shared" si="411"/>
        <v>0</v>
      </c>
      <c r="J148" s="99">
        <f t="shared" si="412"/>
        <v>799.9</v>
      </c>
      <c r="K148" s="105">
        <v>0</v>
      </c>
      <c r="L148" s="105">
        <v>0</v>
      </c>
      <c r="M148" s="105">
        <f>799.8+0.1</f>
        <v>799.9</v>
      </c>
      <c r="N148" s="105">
        <v>0</v>
      </c>
      <c r="O148" s="99">
        <f t="shared" si="413"/>
        <v>851.5</v>
      </c>
      <c r="P148" s="105">
        <v>0</v>
      </c>
      <c r="Q148" s="105">
        <v>0</v>
      </c>
      <c r="R148" s="105">
        <v>851.5</v>
      </c>
      <c r="S148" s="105">
        <v>0</v>
      </c>
      <c r="T148" s="99">
        <f t="shared" si="414"/>
        <v>866.4</v>
      </c>
      <c r="U148" s="105">
        <v>0</v>
      </c>
      <c r="V148" s="105">
        <v>0</v>
      </c>
      <c r="W148" s="105">
        <f>851.5+14.9</f>
        <v>866.4</v>
      </c>
      <c r="X148" s="105">
        <v>0</v>
      </c>
      <c r="Y148" s="99">
        <f t="shared" si="430"/>
        <v>887.3</v>
      </c>
      <c r="Z148" s="105">
        <v>0</v>
      </c>
      <c r="AA148" s="105">
        <v>0</v>
      </c>
      <c r="AB148" s="104">
        <v>887.3</v>
      </c>
      <c r="AC148" s="105">
        <v>0</v>
      </c>
      <c r="AD148" s="99">
        <f t="shared" si="431"/>
        <v>887.3</v>
      </c>
      <c r="AE148" s="105">
        <v>0</v>
      </c>
      <c r="AF148" s="105">
        <v>0</v>
      </c>
      <c r="AG148" s="104">
        <v>887.3</v>
      </c>
      <c r="AH148" s="105">
        <v>0</v>
      </c>
      <c r="AI148" s="99">
        <f t="shared" si="432"/>
        <v>922.8</v>
      </c>
      <c r="AJ148" s="105">
        <v>0</v>
      </c>
      <c r="AK148" s="105">
        <v>0</v>
      </c>
      <c r="AL148" s="104">
        <v>922.8</v>
      </c>
      <c r="AM148" s="105">
        <v>0</v>
      </c>
      <c r="AN148" s="99">
        <f t="shared" si="433"/>
        <v>948.19999999999993</v>
      </c>
      <c r="AO148" s="105">
        <v>0</v>
      </c>
      <c r="AP148" s="105">
        <v>0</v>
      </c>
      <c r="AQ148" s="129">
        <f>922.8+25.4</f>
        <v>948.19999999999993</v>
      </c>
      <c r="AR148" s="130">
        <v>0</v>
      </c>
      <c r="AS148" s="99">
        <f t="shared" si="434"/>
        <v>973.5</v>
      </c>
      <c r="AT148" s="105">
        <v>0</v>
      </c>
      <c r="AU148" s="105">
        <v>0</v>
      </c>
      <c r="AV148" s="129">
        <f>922.8+50.7</f>
        <v>973.5</v>
      </c>
      <c r="AW148" s="130">
        <v>0</v>
      </c>
      <c r="AX148" s="99">
        <f t="shared" si="435"/>
        <v>973.5</v>
      </c>
      <c r="AY148" s="105">
        <v>0</v>
      </c>
      <c r="AZ148" s="105">
        <v>0</v>
      </c>
      <c r="BA148" s="129">
        <f>922.8+50.7</f>
        <v>973.5</v>
      </c>
      <c r="BB148" s="130">
        <v>0</v>
      </c>
    </row>
    <row r="149" spans="1:54" ht="93.75" outlineLevel="3" x14ac:dyDescent="0.25">
      <c r="A149" s="126" t="s">
        <v>155</v>
      </c>
      <c r="B149" s="127" t="s">
        <v>480</v>
      </c>
      <c r="C149" s="106" t="s">
        <v>67</v>
      </c>
      <c r="D149" s="102" t="s">
        <v>36</v>
      </c>
      <c r="E149" s="103">
        <f>SUM(F149:I149)</f>
        <v>25683.499999999996</v>
      </c>
      <c r="F149" s="104">
        <f>K149+P149+U149</f>
        <v>0</v>
      </c>
      <c r="G149" s="104">
        <f>L149+Q149+V149</f>
        <v>0</v>
      </c>
      <c r="H149" s="104">
        <f t="shared" si="380"/>
        <v>25683.499999999996</v>
      </c>
      <c r="I149" s="104">
        <f>N149+S149+X149</f>
        <v>0</v>
      </c>
      <c r="J149" s="99">
        <f>SUM(K149:N149)</f>
        <v>2323.5</v>
      </c>
      <c r="K149" s="105">
        <v>0</v>
      </c>
      <c r="L149" s="105">
        <v>0</v>
      </c>
      <c r="M149" s="105">
        <f>2147.6+175.9</f>
        <v>2323.5</v>
      </c>
      <c r="N149" s="105">
        <v>0</v>
      </c>
      <c r="O149" s="99">
        <f>SUM(P149:S149)</f>
        <v>2459.1999999999998</v>
      </c>
      <c r="P149" s="105">
        <v>0</v>
      </c>
      <c r="Q149" s="105">
        <v>0</v>
      </c>
      <c r="R149" s="105">
        <f>2322.6+136.6</f>
        <v>2459.1999999999998</v>
      </c>
      <c r="S149" s="105">
        <v>0</v>
      </c>
      <c r="T149" s="99">
        <f>SUM(U149:X149)</f>
        <v>2827.7999999999997</v>
      </c>
      <c r="U149" s="105">
        <v>0</v>
      </c>
      <c r="V149" s="105">
        <v>0</v>
      </c>
      <c r="W149" s="105">
        <f>2322.6+464+41.2</f>
        <v>2827.7999999999997</v>
      </c>
      <c r="X149" s="105">
        <v>0</v>
      </c>
      <c r="Y149" s="99">
        <f>SUM(Z149:AC149)</f>
        <v>2885.4</v>
      </c>
      <c r="Z149" s="105">
        <v>0</v>
      </c>
      <c r="AA149" s="105">
        <v>0</v>
      </c>
      <c r="AB149" s="104">
        <v>2885.4</v>
      </c>
      <c r="AC149" s="105">
        <v>0</v>
      </c>
      <c r="AD149" s="99">
        <f>SUM(AE149:AH149)</f>
        <v>2885.4</v>
      </c>
      <c r="AE149" s="105">
        <v>0</v>
      </c>
      <c r="AF149" s="105">
        <v>0</v>
      </c>
      <c r="AG149" s="104">
        <f>2885.4</f>
        <v>2885.4</v>
      </c>
      <c r="AH149" s="105">
        <v>0</v>
      </c>
      <c r="AI149" s="99">
        <f>SUM(AJ149:AM149)</f>
        <v>3000.9</v>
      </c>
      <c r="AJ149" s="105">
        <v>0</v>
      </c>
      <c r="AK149" s="105">
        <v>0</v>
      </c>
      <c r="AL149" s="104">
        <v>3000.9</v>
      </c>
      <c r="AM149" s="105">
        <v>0</v>
      </c>
      <c r="AN149" s="99">
        <f>SUM(AO149:AR149)</f>
        <v>3053.7000000000003</v>
      </c>
      <c r="AO149" s="105">
        <v>0</v>
      </c>
      <c r="AP149" s="105">
        <v>0</v>
      </c>
      <c r="AQ149" s="129">
        <f>3000.9+52.8</f>
        <v>3053.7000000000003</v>
      </c>
      <c r="AR149" s="130">
        <v>0</v>
      </c>
      <c r="AS149" s="99">
        <f>SUM(AT149:AW149)</f>
        <v>3123.8</v>
      </c>
      <c r="AT149" s="105">
        <v>0</v>
      </c>
      <c r="AU149" s="105">
        <v>0</v>
      </c>
      <c r="AV149" s="129">
        <f>3000.9+122.9</f>
        <v>3123.8</v>
      </c>
      <c r="AW149" s="130">
        <v>0</v>
      </c>
      <c r="AX149" s="99">
        <f>SUM(AY149:BB149)</f>
        <v>3123.8</v>
      </c>
      <c r="AY149" s="105">
        <v>0</v>
      </c>
      <c r="AZ149" s="105">
        <v>0</v>
      </c>
      <c r="BA149" s="129">
        <f>3000.9+122.9</f>
        <v>3123.8</v>
      </c>
      <c r="BB149" s="130">
        <v>0</v>
      </c>
    </row>
    <row r="150" spans="1:54" ht="93.75" outlineLevel="3" x14ac:dyDescent="0.25">
      <c r="A150" s="126" t="s">
        <v>359</v>
      </c>
      <c r="B150" s="127" t="s">
        <v>491</v>
      </c>
      <c r="C150" s="106" t="s">
        <v>67</v>
      </c>
      <c r="D150" s="102" t="s">
        <v>36</v>
      </c>
      <c r="E150" s="103">
        <f>SUM(F150:I150)</f>
        <v>54814.5</v>
      </c>
      <c r="F150" s="104">
        <f>K150+P150+U150</f>
        <v>0</v>
      </c>
      <c r="G150" s="104">
        <f>L150+Q150+V150</f>
        <v>0</v>
      </c>
      <c r="H150" s="104">
        <f t="shared" si="380"/>
        <v>54814.5</v>
      </c>
      <c r="I150" s="104"/>
      <c r="J150" s="99">
        <v>0</v>
      </c>
      <c r="K150" s="105">
        <v>0</v>
      </c>
      <c r="L150" s="105">
        <v>0</v>
      </c>
      <c r="M150" s="105">
        <v>0</v>
      </c>
      <c r="N150" s="105">
        <v>0</v>
      </c>
      <c r="O150" s="99">
        <f>R150</f>
        <v>6114.9</v>
      </c>
      <c r="P150" s="105">
        <v>0</v>
      </c>
      <c r="Q150" s="105">
        <v>0</v>
      </c>
      <c r="R150" s="105">
        <v>6114.9</v>
      </c>
      <c r="S150" s="105">
        <v>0</v>
      </c>
      <c r="T150" s="99">
        <f>W150</f>
        <v>6202.5</v>
      </c>
      <c r="U150" s="105">
        <v>0</v>
      </c>
      <c r="V150" s="105">
        <v>0</v>
      </c>
      <c r="W150" s="105">
        <f>6123.4+107.1-28</f>
        <v>6202.5</v>
      </c>
      <c r="X150" s="105">
        <v>0</v>
      </c>
      <c r="Y150" s="99">
        <f>AB150</f>
        <v>6163.4</v>
      </c>
      <c r="Z150" s="105">
        <v>0</v>
      </c>
      <c r="AA150" s="105">
        <v>0</v>
      </c>
      <c r="AB150" s="104">
        <v>6163.4</v>
      </c>
      <c r="AC150" s="105">
        <v>0</v>
      </c>
      <c r="AD150" s="99">
        <f>AG150</f>
        <v>6511.9</v>
      </c>
      <c r="AE150" s="105">
        <v>0</v>
      </c>
      <c r="AF150" s="105">
        <v>0</v>
      </c>
      <c r="AG150" s="104">
        <f>6132.9+379</f>
        <v>6511.9</v>
      </c>
      <c r="AH150" s="105">
        <v>0</v>
      </c>
      <c r="AI150" s="99">
        <f>AL150</f>
        <v>6631.4</v>
      </c>
      <c r="AJ150" s="105">
        <v>0</v>
      </c>
      <c r="AK150" s="105">
        <v>0</v>
      </c>
      <c r="AL150" s="104">
        <f>6772.4-141</f>
        <v>6631.4</v>
      </c>
      <c r="AM150" s="105">
        <v>0</v>
      </c>
      <c r="AN150" s="99">
        <f>AQ150</f>
        <v>7370.4</v>
      </c>
      <c r="AO150" s="105">
        <v>0</v>
      </c>
      <c r="AP150" s="105">
        <v>0</v>
      </c>
      <c r="AQ150" s="129">
        <f>6725.1+184.9+405+55.4</f>
        <v>7370.4</v>
      </c>
      <c r="AR150" s="130">
        <v>0</v>
      </c>
      <c r="AS150" s="99">
        <f>AV150</f>
        <v>7910</v>
      </c>
      <c r="AT150" s="105">
        <v>0</v>
      </c>
      <c r="AU150" s="105">
        <v>0</v>
      </c>
      <c r="AV150" s="129">
        <f>6725.1+369.8+415.9+399.2</f>
        <v>7910</v>
      </c>
      <c r="AW150" s="130">
        <v>0</v>
      </c>
      <c r="AX150" s="99">
        <f>BA150</f>
        <v>7910</v>
      </c>
      <c r="AY150" s="105">
        <v>0</v>
      </c>
      <c r="AZ150" s="105">
        <v>0</v>
      </c>
      <c r="BA150" s="129">
        <f>6725.1+369.8+415.9+399.2</f>
        <v>7910</v>
      </c>
      <c r="BB150" s="130">
        <v>0</v>
      </c>
    </row>
    <row r="151" spans="1:54" s="98" customFormat="1" ht="41.25" customHeight="1" outlineLevel="3" x14ac:dyDescent="0.25">
      <c r="A151" s="97" t="s">
        <v>35</v>
      </c>
      <c r="B151" s="178" t="s">
        <v>58</v>
      </c>
      <c r="C151" s="178"/>
      <c r="D151" s="178"/>
      <c r="E151" s="99">
        <f>SUM(E152:F170)</f>
        <v>20410.3</v>
      </c>
      <c r="F151" s="99">
        <f t="shared" ref="F151" si="436">SUM(F152:G170)</f>
        <v>0</v>
      </c>
      <c r="G151" s="99">
        <f t="shared" ref="G151" si="437">SUM(G152:G170)</f>
        <v>0</v>
      </c>
      <c r="H151" s="99">
        <f t="shared" ref="H151" si="438">SUM(H152:H170)</f>
        <v>20410.3</v>
      </c>
      <c r="I151" s="99">
        <f t="shared" ref="I151" si="439">SUM(I152:I170)</f>
        <v>0</v>
      </c>
      <c r="J151" s="99">
        <f>SUM(J152:J170)</f>
        <v>2240.6999999999998</v>
      </c>
      <c r="K151" s="99">
        <f t="shared" ref="K151:AM151" si="440">SUM(K152:K170)</f>
        <v>0</v>
      </c>
      <c r="L151" s="99">
        <f t="shared" si="440"/>
        <v>0</v>
      </c>
      <c r="M151" s="99">
        <f t="shared" si="440"/>
        <v>2240.6999999999998</v>
      </c>
      <c r="N151" s="99">
        <f t="shared" si="440"/>
        <v>0</v>
      </c>
      <c r="O151" s="99">
        <f t="shared" si="440"/>
        <v>2186</v>
      </c>
      <c r="P151" s="99">
        <f t="shared" si="440"/>
        <v>0</v>
      </c>
      <c r="Q151" s="99">
        <f t="shared" si="440"/>
        <v>0</v>
      </c>
      <c r="R151" s="99">
        <f t="shared" si="440"/>
        <v>2186</v>
      </c>
      <c r="S151" s="99">
        <f t="shared" si="440"/>
        <v>0</v>
      </c>
      <c r="T151" s="99">
        <f t="shared" si="440"/>
        <v>586.6</v>
      </c>
      <c r="U151" s="99">
        <f t="shared" si="440"/>
        <v>0</v>
      </c>
      <c r="V151" s="99">
        <f t="shared" si="440"/>
        <v>0</v>
      </c>
      <c r="W151" s="99">
        <f t="shared" si="440"/>
        <v>586.6</v>
      </c>
      <c r="X151" s="99">
        <f t="shared" si="440"/>
        <v>0</v>
      </c>
      <c r="Y151" s="99">
        <f t="shared" si="440"/>
        <v>681.7</v>
      </c>
      <c r="Z151" s="99">
        <f t="shared" si="440"/>
        <v>0</v>
      </c>
      <c r="AA151" s="99">
        <f t="shared" si="440"/>
        <v>0</v>
      </c>
      <c r="AB151" s="99">
        <f t="shared" si="440"/>
        <v>681.7</v>
      </c>
      <c r="AC151" s="99">
        <f t="shared" si="440"/>
        <v>0</v>
      </c>
      <c r="AD151" s="99">
        <f t="shared" si="440"/>
        <v>1146.6000000000001</v>
      </c>
      <c r="AE151" s="99">
        <f t="shared" si="440"/>
        <v>0</v>
      </c>
      <c r="AF151" s="99">
        <f t="shared" si="440"/>
        <v>0</v>
      </c>
      <c r="AG151" s="99">
        <f t="shared" si="440"/>
        <v>1146.6000000000001</v>
      </c>
      <c r="AH151" s="99">
        <f t="shared" si="440"/>
        <v>0</v>
      </c>
      <c r="AI151" s="99">
        <f t="shared" si="440"/>
        <v>4662.1000000000004</v>
      </c>
      <c r="AJ151" s="99">
        <f t="shared" si="440"/>
        <v>0</v>
      </c>
      <c r="AK151" s="99">
        <f t="shared" si="440"/>
        <v>0</v>
      </c>
      <c r="AL151" s="99">
        <f t="shared" si="440"/>
        <v>4662.1000000000004</v>
      </c>
      <c r="AM151" s="99">
        <f t="shared" si="440"/>
        <v>0</v>
      </c>
      <c r="AN151" s="99">
        <f t="shared" ref="AN151:BB151" si="441">SUM(AN152:AN170)</f>
        <v>5555</v>
      </c>
      <c r="AO151" s="99">
        <f t="shared" si="441"/>
        <v>0</v>
      </c>
      <c r="AP151" s="99">
        <f t="shared" si="441"/>
        <v>0</v>
      </c>
      <c r="AQ151" s="109">
        <f t="shared" si="441"/>
        <v>5555</v>
      </c>
      <c r="AR151" s="99">
        <f t="shared" si="441"/>
        <v>0</v>
      </c>
      <c r="AS151" s="99">
        <f t="shared" si="441"/>
        <v>1017.8999999999999</v>
      </c>
      <c r="AT151" s="99">
        <f t="shared" si="441"/>
        <v>0</v>
      </c>
      <c r="AU151" s="99">
        <f t="shared" si="441"/>
        <v>0</v>
      </c>
      <c r="AV151" s="109">
        <f t="shared" si="441"/>
        <v>1017.8999999999999</v>
      </c>
      <c r="AW151" s="99">
        <f t="shared" si="441"/>
        <v>0</v>
      </c>
      <c r="AX151" s="99">
        <f t="shared" si="441"/>
        <v>2333.7000000000003</v>
      </c>
      <c r="AY151" s="99">
        <f t="shared" si="441"/>
        <v>0</v>
      </c>
      <c r="AZ151" s="99">
        <f t="shared" si="441"/>
        <v>0</v>
      </c>
      <c r="BA151" s="109">
        <f t="shared" si="441"/>
        <v>2333.7000000000003</v>
      </c>
      <c r="BB151" s="99">
        <f t="shared" si="441"/>
        <v>0</v>
      </c>
    </row>
    <row r="152" spans="1:54" ht="93.75" outlineLevel="3" x14ac:dyDescent="0.25">
      <c r="A152" s="126" t="s">
        <v>134</v>
      </c>
      <c r="B152" s="127" t="s">
        <v>463</v>
      </c>
      <c r="C152" s="106" t="s">
        <v>67</v>
      </c>
      <c r="D152" s="102" t="s">
        <v>36</v>
      </c>
      <c r="E152" s="103">
        <f t="shared" ref="E152:E169" si="442">SUM(F152:I152)</f>
        <v>475.29999999999995</v>
      </c>
      <c r="F152" s="104">
        <f t="shared" ref="F152:G168" si="443">K152+P152+U152</f>
        <v>0</v>
      </c>
      <c r="G152" s="104">
        <f t="shared" si="443"/>
        <v>0</v>
      </c>
      <c r="H152" s="104">
        <f t="shared" si="380"/>
        <v>475.29999999999995</v>
      </c>
      <c r="I152" s="104">
        <f t="shared" ref="I152:I167" si="444">N152+S152+X152</f>
        <v>0</v>
      </c>
      <c r="J152" s="99">
        <f t="shared" ref="J152:J167" si="445">SUM(K152:N152)</f>
        <v>154.1</v>
      </c>
      <c r="K152" s="105">
        <v>0</v>
      </c>
      <c r="L152" s="105">
        <v>0</v>
      </c>
      <c r="M152" s="105">
        <v>154.1</v>
      </c>
      <c r="N152" s="105">
        <v>0</v>
      </c>
      <c r="O152" s="99">
        <f t="shared" ref="O152:O169" si="446">SUM(P152:S152)</f>
        <v>80</v>
      </c>
      <c r="P152" s="105">
        <v>0</v>
      </c>
      <c r="Q152" s="105">
        <v>0</v>
      </c>
      <c r="R152" s="105">
        <v>80</v>
      </c>
      <c r="S152" s="105">
        <v>0</v>
      </c>
      <c r="T152" s="99">
        <f t="shared" ref="T152:T169" si="447">SUM(U152:X152)</f>
        <v>0</v>
      </c>
      <c r="U152" s="105">
        <v>0</v>
      </c>
      <c r="V152" s="105">
        <v>0</v>
      </c>
      <c r="W152" s="105">
        <v>0</v>
      </c>
      <c r="X152" s="105">
        <v>0</v>
      </c>
      <c r="Y152" s="99">
        <f t="shared" ref="Y152:Y169" si="448">SUM(Z152:AC152)</f>
        <v>0</v>
      </c>
      <c r="Z152" s="105">
        <v>0</v>
      </c>
      <c r="AA152" s="105">
        <v>0</v>
      </c>
      <c r="AB152" s="105">
        <v>0</v>
      </c>
      <c r="AC152" s="105">
        <v>0</v>
      </c>
      <c r="AD152" s="99">
        <f t="shared" ref="AD152:AD169" si="449">SUM(AE152:AH152)</f>
        <v>0</v>
      </c>
      <c r="AE152" s="105">
        <v>0</v>
      </c>
      <c r="AF152" s="105">
        <v>0</v>
      </c>
      <c r="AG152" s="105">
        <v>0</v>
      </c>
      <c r="AH152" s="105">
        <v>0</v>
      </c>
      <c r="AI152" s="99">
        <f t="shared" ref="AI152:AI169" si="450">SUM(AJ152:AM152)</f>
        <v>241.2</v>
      </c>
      <c r="AJ152" s="105">
        <v>0</v>
      </c>
      <c r="AK152" s="105">
        <v>0</v>
      </c>
      <c r="AL152" s="105">
        <f>222.2+19</f>
        <v>241.2</v>
      </c>
      <c r="AM152" s="105">
        <v>0</v>
      </c>
      <c r="AN152" s="99">
        <f t="shared" ref="AN152:AN170" si="451">SUM(AO152:AR152)</f>
        <v>0</v>
      </c>
      <c r="AO152" s="105">
        <v>0</v>
      </c>
      <c r="AP152" s="105">
        <v>0</v>
      </c>
      <c r="AQ152" s="105"/>
      <c r="AR152" s="105">
        <v>0</v>
      </c>
      <c r="AS152" s="99">
        <f t="shared" ref="AS152:AS170" si="452">SUM(AT152:AW152)</f>
        <v>0</v>
      </c>
      <c r="AT152" s="105">
        <v>0</v>
      </c>
      <c r="AU152" s="105">
        <v>0</v>
      </c>
      <c r="AV152" s="105"/>
      <c r="AW152" s="105">
        <v>0</v>
      </c>
      <c r="AX152" s="99">
        <f t="shared" ref="AX152:AX170" si="453">SUM(AY152:BB152)</f>
        <v>0</v>
      </c>
      <c r="AY152" s="105">
        <v>0</v>
      </c>
      <c r="AZ152" s="105">
        <v>0</v>
      </c>
      <c r="BA152" s="105">
        <v>0</v>
      </c>
      <c r="BB152" s="105">
        <v>0</v>
      </c>
    </row>
    <row r="153" spans="1:54" ht="93.75" outlineLevel="3" x14ac:dyDescent="0.25">
      <c r="A153" s="126" t="s">
        <v>135</v>
      </c>
      <c r="B153" s="127" t="s">
        <v>464</v>
      </c>
      <c r="C153" s="106" t="s">
        <v>67</v>
      </c>
      <c r="D153" s="102" t="s">
        <v>36</v>
      </c>
      <c r="E153" s="103">
        <f t="shared" si="442"/>
        <v>2083.3000000000002</v>
      </c>
      <c r="F153" s="104">
        <f t="shared" si="443"/>
        <v>0</v>
      </c>
      <c r="G153" s="104">
        <f t="shared" si="443"/>
        <v>0</v>
      </c>
      <c r="H153" s="104">
        <f t="shared" si="380"/>
        <v>2083.3000000000002</v>
      </c>
      <c r="I153" s="104">
        <f t="shared" si="444"/>
        <v>0</v>
      </c>
      <c r="J153" s="99">
        <f t="shared" si="445"/>
        <v>294</v>
      </c>
      <c r="K153" s="105">
        <v>0</v>
      </c>
      <c r="L153" s="105">
        <v>0</v>
      </c>
      <c r="M153" s="105">
        <v>294</v>
      </c>
      <c r="N153" s="105">
        <v>0</v>
      </c>
      <c r="O153" s="99">
        <f t="shared" si="446"/>
        <v>0</v>
      </c>
      <c r="P153" s="105">
        <v>0</v>
      </c>
      <c r="Q153" s="105">
        <v>0</v>
      </c>
      <c r="R153" s="105">
        <v>0</v>
      </c>
      <c r="S153" s="105">
        <v>0</v>
      </c>
      <c r="T153" s="99">
        <f t="shared" si="447"/>
        <v>0</v>
      </c>
      <c r="U153" s="105">
        <v>0</v>
      </c>
      <c r="V153" s="105">
        <v>0</v>
      </c>
      <c r="W153" s="105">
        <v>0</v>
      </c>
      <c r="X153" s="105">
        <v>0</v>
      </c>
      <c r="Y153" s="99">
        <f t="shared" si="448"/>
        <v>477.5</v>
      </c>
      <c r="Z153" s="105">
        <v>0</v>
      </c>
      <c r="AA153" s="105">
        <v>0</v>
      </c>
      <c r="AB153" s="105">
        <v>477.5</v>
      </c>
      <c r="AC153" s="105">
        <v>0</v>
      </c>
      <c r="AD153" s="99">
        <f t="shared" si="449"/>
        <v>0</v>
      </c>
      <c r="AE153" s="105">
        <v>0</v>
      </c>
      <c r="AF153" s="105">
        <v>0</v>
      </c>
      <c r="AG153" s="105">
        <v>0</v>
      </c>
      <c r="AH153" s="105">
        <v>0</v>
      </c>
      <c r="AI153" s="99">
        <f t="shared" si="450"/>
        <v>649.40000000000009</v>
      </c>
      <c r="AJ153" s="105">
        <v>0</v>
      </c>
      <c r="AK153" s="105">
        <v>0</v>
      </c>
      <c r="AL153" s="105">
        <f>401.1+248.3</f>
        <v>649.40000000000009</v>
      </c>
      <c r="AM153" s="105">
        <v>0</v>
      </c>
      <c r="AN153" s="99">
        <f t="shared" si="451"/>
        <v>0</v>
      </c>
      <c r="AO153" s="105">
        <v>0</v>
      </c>
      <c r="AP153" s="105">
        <v>0</v>
      </c>
      <c r="AQ153" s="105"/>
      <c r="AR153" s="105">
        <v>0</v>
      </c>
      <c r="AS153" s="99">
        <f t="shared" si="452"/>
        <v>0</v>
      </c>
      <c r="AT153" s="105">
        <v>0</v>
      </c>
      <c r="AU153" s="105">
        <v>0</v>
      </c>
      <c r="AV153" s="105"/>
      <c r="AW153" s="105">
        <v>0</v>
      </c>
      <c r="AX153" s="99">
        <f t="shared" si="453"/>
        <v>662.4</v>
      </c>
      <c r="AY153" s="105">
        <v>0</v>
      </c>
      <c r="AZ153" s="105">
        <v>0</v>
      </c>
      <c r="BA153" s="105">
        <v>662.4</v>
      </c>
      <c r="BB153" s="105">
        <v>0</v>
      </c>
    </row>
    <row r="154" spans="1:54" ht="93.75" outlineLevel="3" x14ac:dyDescent="0.25">
      <c r="A154" s="126" t="s">
        <v>136</v>
      </c>
      <c r="B154" s="127" t="s">
        <v>466</v>
      </c>
      <c r="C154" s="106" t="s">
        <v>67</v>
      </c>
      <c r="D154" s="102" t="s">
        <v>36</v>
      </c>
      <c r="E154" s="103">
        <f t="shared" si="442"/>
        <v>578.79999999999995</v>
      </c>
      <c r="F154" s="104">
        <f t="shared" si="443"/>
        <v>0</v>
      </c>
      <c r="G154" s="104">
        <f t="shared" si="443"/>
        <v>0</v>
      </c>
      <c r="H154" s="104">
        <f t="shared" si="380"/>
        <v>578.79999999999995</v>
      </c>
      <c r="I154" s="104">
        <f t="shared" si="444"/>
        <v>0</v>
      </c>
      <c r="J154" s="99">
        <f t="shared" si="445"/>
        <v>187.4</v>
      </c>
      <c r="K154" s="105">
        <v>0</v>
      </c>
      <c r="L154" s="105">
        <v>0</v>
      </c>
      <c r="M154" s="105">
        <f>37.4+150</f>
        <v>187.4</v>
      </c>
      <c r="N154" s="105">
        <v>0</v>
      </c>
      <c r="O154" s="99">
        <f t="shared" si="446"/>
        <v>0</v>
      </c>
      <c r="P154" s="105">
        <v>0</v>
      </c>
      <c r="Q154" s="105">
        <v>0</v>
      </c>
      <c r="R154" s="105">
        <v>0</v>
      </c>
      <c r="S154" s="105">
        <v>0</v>
      </c>
      <c r="T154" s="99">
        <f t="shared" si="447"/>
        <v>0</v>
      </c>
      <c r="U154" s="105">
        <v>0</v>
      </c>
      <c r="V154" s="105">
        <v>0</v>
      </c>
      <c r="W154" s="105">
        <v>0</v>
      </c>
      <c r="X154" s="105">
        <v>0</v>
      </c>
      <c r="Y154" s="99">
        <f t="shared" si="448"/>
        <v>0</v>
      </c>
      <c r="Z154" s="105">
        <v>0</v>
      </c>
      <c r="AA154" s="105">
        <v>0</v>
      </c>
      <c r="AB154" s="105">
        <v>0</v>
      </c>
      <c r="AC154" s="105">
        <v>0</v>
      </c>
      <c r="AD154" s="99">
        <f t="shared" si="449"/>
        <v>0</v>
      </c>
      <c r="AE154" s="105">
        <v>0</v>
      </c>
      <c r="AF154" s="105">
        <v>0</v>
      </c>
      <c r="AG154" s="105">
        <v>0</v>
      </c>
      <c r="AH154" s="105">
        <v>0</v>
      </c>
      <c r="AI154" s="99">
        <f t="shared" si="450"/>
        <v>391.4</v>
      </c>
      <c r="AJ154" s="105">
        <v>0</v>
      </c>
      <c r="AK154" s="105">
        <v>0</v>
      </c>
      <c r="AL154" s="105">
        <f>242.3+149.1</f>
        <v>391.4</v>
      </c>
      <c r="AM154" s="105">
        <v>0</v>
      </c>
      <c r="AN154" s="99">
        <f t="shared" si="451"/>
        <v>0</v>
      </c>
      <c r="AO154" s="105">
        <v>0</v>
      </c>
      <c r="AP154" s="105">
        <v>0</v>
      </c>
      <c r="AQ154" s="105"/>
      <c r="AR154" s="105">
        <v>0</v>
      </c>
      <c r="AS154" s="99">
        <f t="shared" si="452"/>
        <v>0</v>
      </c>
      <c r="AT154" s="105">
        <v>0</v>
      </c>
      <c r="AU154" s="105">
        <v>0</v>
      </c>
      <c r="AV154" s="105"/>
      <c r="AW154" s="105">
        <v>0</v>
      </c>
      <c r="AX154" s="99">
        <f t="shared" si="453"/>
        <v>0</v>
      </c>
      <c r="AY154" s="105">
        <v>0</v>
      </c>
      <c r="AZ154" s="105">
        <v>0</v>
      </c>
      <c r="BA154" s="105">
        <v>0</v>
      </c>
      <c r="BB154" s="105">
        <v>0</v>
      </c>
    </row>
    <row r="155" spans="1:54" ht="93.75" outlineLevel="3" x14ac:dyDescent="0.25">
      <c r="A155" s="126" t="s">
        <v>137</v>
      </c>
      <c r="B155" s="127" t="s">
        <v>467</v>
      </c>
      <c r="C155" s="106" t="s">
        <v>67</v>
      </c>
      <c r="D155" s="102" t="s">
        <v>36</v>
      </c>
      <c r="E155" s="103">
        <f t="shared" si="442"/>
        <v>1115.0999999999999</v>
      </c>
      <c r="F155" s="104">
        <f t="shared" si="443"/>
        <v>0</v>
      </c>
      <c r="G155" s="104">
        <f t="shared" si="443"/>
        <v>0</v>
      </c>
      <c r="H155" s="104">
        <f t="shared" si="380"/>
        <v>1115.0999999999999</v>
      </c>
      <c r="I155" s="104">
        <f t="shared" si="444"/>
        <v>0</v>
      </c>
      <c r="J155" s="99">
        <f t="shared" si="445"/>
        <v>0</v>
      </c>
      <c r="K155" s="105">
        <v>0</v>
      </c>
      <c r="L155" s="105">
        <v>0</v>
      </c>
      <c r="M155" s="105">
        <v>0</v>
      </c>
      <c r="N155" s="105">
        <v>0</v>
      </c>
      <c r="O155" s="99">
        <f t="shared" si="446"/>
        <v>0</v>
      </c>
      <c r="P155" s="105">
        <v>0</v>
      </c>
      <c r="Q155" s="105">
        <v>0</v>
      </c>
      <c r="R155" s="105">
        <v>0</v>
      </c>
      <c r="S155" s="105">
        <v>0</v>
      </c>
      <c r="T155" s="99">
        <f t="shared" si="447"/>
        <v>267.5</v>
      </c>
      <c r="U155" s="105">
        <v>0</v>
      </c>
      <c r="V155" s="105">
        <v>0</v>
      </c>
      <c r="W155" s="105">
        <f>150+117.5</f>
        <v>267.5</v>
      </c>
      <c r="X155" s="105">
        <v>0</v>
      </c>
      <c r="Y155" s="99">
        <f t="shared" si="448"/>
        <v>0</v>
      </c>
      <c r="Z155" s="105">
        <v>0</v>
      </c>
      <c r="AA155" s="105">
        <v>0</v>
      </c>
      <c r="AB155" s="105">
        <v>0</v>
      </c>
      <c r="AC155" s="105">
        <v>0</v>
      </c>
      <c r="AD155" s="99">
        <f t="shared" si="449"/>
        <v>187.7</v>
      </c>
      <c r="AE155" s="105">
        <v>0</v>
      </c>
      <c r="AF155" s="105">
        <v>0</v>
      </c>
      <c r="AG155" s="105">
        <v>187.7</v>
      </c>
      <c r="AH155" s="105">
        <v>0</v>
      </c>
      <c r="AI155" s="99">
        <f t="shared" si="450"/>
        <v>0</v>
      </c>
      <c r="AJ155" s="105">
        <v>0</v>
      </c>
      <c r="AK155" s="105">
        <v>0</v>
      </c>
      <c r="AL155" s="105">
        <v>0</v>
      </c>
      <c r="AM155" s="105">
        <v>0</v>
      </c>
      <c r="AN155" s="99">
        <f t="shared" si="451"/>
        <v>329.6</v>
      </c>
      <c r="AO155" s="105">
        <v>0</v>
      </c>
      <c r="AP155" s="105">
        <v>0</v>
      </c>
      <c r="AQ155" s="105">
        <v>329.6</v>
      </c>
      <c r="AR155" s="105">
        <v>0</v>
      </c>
      <c r="AS155" s="99">
        <f t="shared" si="452"/>
        <v>330.29999999999995</v>
      </c>
      <c r="AT155" s="105">
        <v>0</v>
      </c>
      <c r="AU155" s="105">
        <v>0</v>
      </c>
      <c r="AV155" s="105">
        <f>245.7+84.6</f>
        <v>330.29999999999995</v>
      </c>
      <c r="AW155" s="105">
        <v>0</v>
      </c>
      <c r="AX155" s="99">
        <f t="shared" si="453"/>
        <v>0</v>
      </c>
      <c r="AY155" s="105">
        <v>0</v>
      </c>
      <c r="AZ155" s="105">
        <v>0</v>
      </c>
      <c r="BA155" s="105">
        <v>0</v>
      </c>
      <c r="BB155" s="105">
        <v>0</v>
      </c>
    </row>
    <row r="156" spans="1:54" ht="93.75" outlineLevel="3" x14ac:dyDescent="0.25">
      <c r="A156" s="126" t="s">
        <v>138</v>
      </c>
      <c r="B156" s="127" t="s">
        <v>468</v>
      </c>
      <c r="C156" s="106" t="s">
        <v>67</v>
      </c>
      <c r="D156" s="102" t="s">
        <v>36</v>
      </c>
      <c r="E156" s="103">
        <f t="shared" si="442"/>
        <v>1184.6999999999998</v>
      </c>
      <c r="F156" s="104">
        <f t="shared" si="443"/>
        <v>0</v>
      </c>
      <c r="G156" s="104">
        <f t="shared" si="443"/>
        <v>0</v>
      </c>
      <c r="H156" s="104">
        <f t="shared" si="380"/>
        <v>1184.6999999999998</v>
      </c>
      <c r="I156" s="104">
        <f t="shared" si="444"/>
        <v>0</v>
      </c>
      <c r="J156" s="99">
        <f t="shared" si="445"/>
        <v>381.3</v>
      </c>
      <c r="K156" s="105">
        <v>0</v>
      </c>
      <c r="L156" s="105">
        <v>0</v>
      </c>
      <c r="M156" s="105">
        <f>150+231.3</f>
        <v>381.3</v>
      </c>
      <c r="N156" s="105">
        <v>0</v>
      </c>
      <c r="O156" s="99">
        <f t="shared" si="446"/>
        <v>0</v>
      </c>
      <c r="P156" s="105">
        <v>0</v>
      </c>
      <c r="Q156" s="105">
        <v>0</v>
      </c>
      <c r="R156" s="105">
        <v>0</v>
      </c>
      <c r="S156" s="105">
        <v>0</v>
      </c>
      <c r="T156" s="99">
        <f t="shared" si="447"/>
        <v>0</v>
      </c>
      <c r="U156" s="105">
        <v>0</v>
      </c>
      <c r="V156" s="105">
        <v>0</v>
      </c>
      <c r="W156" s="105">
        <v>0</v>
      </c>
      <c r="X156" s="105">
        <v>0</v>
      </c>
      <c r="Y156" s="99">
        <f t="shared" si="448"/>
        <v>204.2</v>
      </c>
      <c r="Z156" s="105">
        <v>0</v>
      </c>
      <c r="AA156" s="105">
        <v>0</v>
      </c>
      <c r="AB156" s="105">
        <v>204.2</v>
      </c>
      <c r="AC156" s="105">
        <v>0</v>
      </c>
      <c r="AD156" s="99">
        <f t="shared" si="449"/>
        <v>0</v>
      </c>
      <c r="AE156" s="105">
        <v>0</v>
      </c>
      <c r="AF156" s="105">
        <v>0</v>
      </c>
      <c r="AG156" s="105">
        <v>0</v>
      </c>
      <c r="AH156" s="105">
        <v>0</v>
      </c>
      <c r="AI156" s="99">
        <f t="shared" si="450"/>
        <v>298.29999999999995</v>
      </c>
      <c r="AJ156" s="105">
        <v>0</v>
      </c>
      <c r="AK156" s="105">
        <v>0</v>
      </c>
      <c r="AL156" s="105">
        <f>208.2+90.1</f>
        <v>298.29999999999995</v>
      </c>
      <c r="AM156" s="105">
        <v>0</v>
      </c>
      <c r="AN156" s="99">
        <f t="shared" si="451"/>
        <v>0</v>
      </c>
      <c r="AO156" s="105">
        <v>0</v>
      </c>
      <c r="AP156" s="105">
        <v>0</v>
      </c>
      <c r="AQ156" s="105"/>
      <c r="AR156" s="105">
        <v>0</v>
      </c>
      <c r="AS156" s="99">
        <f t="shared" si="452"/>
        <v>0</v>
      </c>
      <c r="AT156" s="105">
        <v>0</v>
      </c>
      <c r="AU156" s="105">
        <v>0</v>
      </c>
      <c r="AV156" s="105"/>
      <c r="AW156" s="105">
        <v>0</v>
      </c>
      <c r="AX156" s="99">
        <f t="shared" si="453"/>
        <v>300.89999999999998</v>
      </c>
      <c r="AY156" s="105">
        <v>0</v>
      </c>
      <c r="AZ156" s="105">
        <v>0</v>
      </c>
      <c r="BA156" s="105">
        <v>300.89999999999998</v>
      </c>
      <c r="BB156" s="105">
        <v>0</v>
      </c>
    </row>
    <row r="157" spans="1:54" ht="93.75" outlineLevel="3" x14ac:dyDescent="0.25">
      <c r="A157" s="126" t="s">
        <v>139</v>
      </c>
      <c r="B157" s="127" t="s">
        <v>470</v>
      </c>
      <c r="C157" s="106" t="s">
        <v>67</v>
      </c>
      <c r="D157" s="102" t="s">
        <v>36</v>
      </c>
      <c r="E157" s="103">
        <f t="shared" si="442"/>
        <v>2067.1000000000004</v>
      </c>
      <c r="F157" s="104">
        <f t="shared" si="443"/>
        <v>0</v>
      </c>
      <c r="G157" s="104">
        <f t="shared" si="443"/>
        <v>0</v>
      </c>
      <c r="H157" s="104">
        <f t="shared" si="380"/>
        <v>2067.1000000000004</v>
      </c>
      <c r="I157" s="104">
        <f t="shared" si="444"/>
        <v>0</v>
      </c>
      <c r="J157" s="99">
        <f t="shared" si="445"/>
        <v>329.9</v>
      </c>
      <c r="K157" s="105">
        <v>0</v>
      </c>
      <c r="L157" s="105">
        <v>0</v>
      </c>
      <c r="M157" s="105">
        <f>107.9+222</f>
        <v>329.9</v>
      </c>
      <c r="N157" s="105">
        <v>0</v>
      </c>
      <c r="O157" s="99">
        <f t="shared" si="446"/>
        <v>0</v>
      </c>
      <c r="P157" s="105">
        <v>0</v>
      </c>
      <c r="Q157" s="105">
        <v>0</v>
      </c>
      <c r="R157" s="105">
        <v>0</v>
      </c>
      <c r="S157" s="105">
        <v>0</v>
      </c>
      <c r="T157" s="99">
        <f t="shared" si="447"/>
        <v>0</v>
      </c>
      <c r="U157" s="105">
        <v>0</v>
      </c>
      <c r="V157" s="105">
        <v>0</v>
      </c>
      <c r="W157" s="105">
        <v>0</v>
      </c>
      <c r="X157" s="105">
        <v>0</v>
      </c>
      <c r="Y157" s="99">
        <f t="shared" si="448"/>
        <v>0</v>
      </c>
      <c r="Z157" s="105">
        <v>0</v>
      </c>
      <c r="AA157" s="105">
        <v>0</v>
      </c>
      <c r="AB157" s="105">
        <v>0</v>
      </c>
      <c r="AC157" s="105">
        <v>0</v>
      </c>
      <c r="AD157" s="99">
        <f t="shared" si="449"/>
        <v>222</v>
      </c>
      <c r="AE157" s="105">
        <v>0</v>
      </c>
      <c r="AF157" s="105">
        <v>0</v>
      </c>
      <c r="AG157" s="105">
        <v>222</v>
      </c>
      <c r="AH157" s="105">
        <v>0</v>
      </c>
      <c r="AI157" s="99">
        <f t="shared" si="450"/>
        <v>530.9</v>
      </c>
      <c r="AJ157" s="105">
        <v>0</v>
      </c>
      <c r="AK157" s="105">
        <v>0</v>
      </c>
      <c r="AL157" s="105">
        <f>304.7+226.2</f>
        <v>530.9</v>
      </c>
      <c r="AM157" s="105">
        <v>0</v>
      </c>
      <c r="AN157" s="99">
        <f t="shared" si="451"/>
        <v>445.6</v>
      </c>
      <c r="AO157" s="105">
        <v>0</v>
      </c>
      <c r="AP157" s="105">
        <v>0</v>
      </c>
      <c r="AQ157" s="105">
        <v>445.6</v>
      </c>
      <c r="AR157" s="105">
        <v>0</v>
      </c>
      <c r="AS157" s="99">
        <f t="shared" si="452"/>
        <v>0</v>
      </c>
      <c r="AT157" s="105">
        <v>0</v>
      </c>
      <c r="AU157" s="105">
        <v>0</v>
      </c>
      <c r="AV157" s="105"/>
      <c r="AW157" s="105">
        <v>0</v>
      </c>
      <c r="AX157" s="99">
        <f t="shared" si="453"/>
        <v>538.70000000000005</v>
      </c>
      <c r="AY157" s="105">
        <v>0</v>
      </c>
      <c r="AZ157" s="105">
        <v>0</v>
      </c>
      <c r="BA157" s="105">
        <v>538.70000000000005</v>
      </c>
      <c r="BB157" s="105">
        <v>0</v>
      </c>
    </row>
    <row r="158" spans="1:54" ht="93.75" outlineLevel="3" x14ac:dyDescent="0.25">
      <c r="A158" s="126" t="s">
        <v>140</v>
      </c>
      <c r="B158" s="127" t="s">
        <v>471</v>
      </c>
      <c r="C158" s="106" t="s">
        <v>67</v>
      </c>
      <c r="D158" s="102" t="s">
        <v>36</v>
      </c>
      <c r="E158" s="103">
        <f t="shared" si="442"/>
        <v>1006.7</v>
      </c>
      <c r="F158" s="104">
        <f t="shared" si="443"/>
        <v>0</v>
      </c>
      <c r="G158" s="104">
        <f t="shared" si="443"/>
        <v>0</v>
      </c>
      <c r="H158" s="104">
        <f t="shared" si="380"/>
        <v>1006.7</v>
      </c>
      <c r="I158" s="104">
        <f t="shared" si="444"/>
        <v>0</v>
      </c>
      <c r="J158" s="99">
        <f t="shared" si="445"/>
        <v>0</v>
      </c>
      <c r="K158" s="105">
        <v>0</v>
      </c>
      <c r="L158" s="105">
        <v>0</v>
      </c>
      <c r="M158" s="105">
        <v>0</v>
      </c>
      <c r="N158" s="105">
        <v>0</v>
      </c>
      <c r="O158" s="99">
        <f t="shared" si="446"/>
        <v>294</v>
      </c>
      <c r="P158" s="105">
        <v>0</v>
      </c>
      <c r="Q158" s="105">
        <v>0</v>
      </c>
      <c r="R158" s="105">
        <v>294</v>
      </c>
      <c r="S158" s="105">
        <v>0</v>
      </c>
      <c r="T158" s="99">
        <f t="shared" si="447"/>
        <v>0</v>
      </c>
      <c r="U158" s="105">
        <v>0</v>
      </c>
      <c r="V158" s="105">
        <v>0</v>
      </c>
      <c r="W158" s="105">
        <v>0</v>
      </c>
      <c r="X158" s="105">
        <v>0</v>
      </c>
      <c r="Y158" s="99">
        <f t="shared" si="448"/>
        <v>0</v>
      </c>
      <c r="Z158" s="105">
        <v>0</v>
      </c>
      <c r="AA158" s="105">
        <v>0</v>
      </c>
      <c r="AB158" s="105">
        <v>0</v>
      </c>
      <c r="AC158" s="105">
        <v>0</v>
      </c>
      <c r="AD158" s="99">
        <f t="shared" si="449"/>
        <v>0</v>
      </c>
      <c r="AE158" s="105">
        <v>0</v>
      </c>
      <c r="AF158" s="105">
        <v>0</v>
      </c>
      <c r="AG158" s="105">
        <v>0</v>
      </c>
      <c r="AH158" s="105">
        <v>0</v>
      </c>
      <c r="AI158" s="99">
        <f t="shared" si="450"/>
        <v>0</v>
      </c>
      <c r="AJ158" s="105">
        <v>0</v>
      </c>
      <c r="AK158" s="105">
        <v>0</v>
      </c>
      <c r="AL158" s="105">
        <v>0</v>
      </c>
      <c r="AM158" s="105">
        <v>0</v>
      </c>
      <c r="AN158" s="99">
        <f t="shared" si="451"/>
        <v>712.7</v>
      </c>
      <c r="AO158" s="105">
        <v>0</v>
      </c>
      <c r="AP158" s="105">
        <v>0</v>
      </c>
      <c r="AQ158" s="105">
        <f>448.2+264.5</f>
        <v>712.7</v>
      </c>
      <c r="AR158" s="105">
        <v>0</v>
      </c>
      <c r="AS158" s="99">
        <f t="shared" si="452"/>
        <v>0</v>
      </c>
      <c r="AT158" s="105">
        <v>0</v>
      </c>
      <c r="AU158" s="105">
        <v>0</v>
      </c>
      <c r="AV158" s="105"/>
      <c r="AW158" s="105">
        <v>0</v>
      </c>
      <c r="AX158" s="99">
        <f t="shared" si="453"/>
        <v>0</v>
      </c>
      <c r="AY158" s="105">
        <v>0</v>
      </c>
      <c r="AZ158" s="105">
        <v>0</v>
      </c>
      <c r="BA158" s="105">
        <v>0</v>
      </c>
      <c r="BB158" s="105">
        <v>0</v>
      </c>
    </row>
    <row r="159" spans="1:54" ht="93.75" outlineLevel="3" x14ac:dyDescent="0.25">
      <c r="A159" s="126" t="s">
        <v>141</v>
      </c>
      <c r="B159" s="127" t="s">
        <v>480</v>
      </c>
      <c r="C159" s="106" t="s">
        <v>67</v>
      </c>
      <c r="D159" s="102" t="s">
        <v>36</v>
      </c>
      <c r="E159" s="103">
        <f t="shared" si="442"/>
        <v>1161.1999999999998</v>
      </c>
      <c r="F159" s="104">
        <f t="shared" si="443"/>
        <v>0</v>
      </c>
      <c r="G159" s="104">
        <f t="shared" si="443"/>
        <v>0</v>
      </c>
      <c r="H159" s="104">
        <f t="shared" si="380"/>
        <v>1161.1999999999998</v>
      </c>
      <c r="I159" s="104">
        <f t="shared" si="444"/>
        <v>0</v>
      </c>
      <c r="J159" s="99">
        <f t="shared" si="445"/>
        <v>150</v>
      </c>
      <c r="K159" s="105">
        <v>0</v>
      </c>
      <c r="L159" s="105">
        <v>0</v>
      </c>
      <c r="M159" s="105">
        <v>150</v>
      </c>
      <c r="N159" s="105">
        <v>0</v>
      </c>
      <c r="O159" s="99">
        <f t="shared" si="446"/>
        <v>150</v>
      </c>
      <c r="P159" s="105">
        <v>0</v>
      </c>
      <c r="Q159" s="105">
        <v>0</v>
      </c>
      <c r="R159" s="105">
        <v>150</v>
      </c>
      <c r="S159" s="105">
        <v>0</v>
      </c>
      <c r="T159" s="99">
        <f t="shared" si="447"/>
        <v>0</v>
      </c>
      <c r="U159" s="105">
        <v>0</v>
      </c>
      <c r="V159" s="105">
        <v>0</v>
      </c>
      <c r="W159" s="105">
        <v>0</v>
      </c>
      <c r="X159" s="105">
        <v>0</v>
      </c>
      <c r="Y159" s="99">
        <f t="shared" si="448"/>
        <v>0</v>
      </c>
      <c r="Z159" s="105">
        <v>0</v>
      </c>
      <c r="AA159" s="105">
        <v>0</v>
      </c>
      <c r="AB159" s="105">
        <v>0</v>
      </c>
      <c r="AC159" s="105">
        <v>0</v>
      </c>
      <c r="AD159" s="99">
        <f t="shared" si="449"/>
        <v>200</v>
      </c>
      <c r="AE159" s="105">
        <v>0</v>
      </c>
      <c r="AF159" s="105">
        <v>0</v>
      </c>
      <c r="AG159" s="105">
        <v>200</v>
      </c>
      <c r="AH159" s="105">
        <v>0</v>
      </c>
      <c r="AI159" s="99">
        <f t="shared" si="450"/>
        <v>0</v>
      </c>
      <c r="AJ159" s="105">
        <v>0</v>
      </c>
      <c r="AK159" s="105">
        <v>0</v>
      </c>
      <c r="AL159" s="105"/>
      <c r="AM159" s="105">
        <v>0</v>
      </c>
      <c r="AN159" s="99">
        <f t="shared" si="451"/>
        <v>0</v>
      </c>
      <c r="AO159" s="105">
        <v>0</v>
      </c>
      <c r="AP159" s="105">
        <v>0</v>
      </c>
      <c r="AQ159" s="105"/>
      <c r="AR159" s="105">
        <v>0</v>
      </c>
      <c r="AS159" s="99">
        <f t="shared" si="452"/>
        <v>330.3</v>
      </c>
      <c r="AT159" s="105">
        <v>0</v>
      </c>
      <c r="AU159" s="105">
        <v>0</v>
      </c>
      <c r="AV159" s="105">
        <f>230.6+99.7</f>
        <v>330.3</v>
      </c>
      <c r="AW159" s="105">
        <v>0</v>
      </c>
      <c r="AX159" s="99">
        <f t="shared" si="453"/>
        <v>330.9</v>
      </c>
      <c r="AY159" s="105">
        <v>0</v>
      </c>
      <c r="AZ159" s="105">
        <v>0</v>
      </c>
      <c r="BA159" s="105">
        <v>330.9</v>
      </c>
      <c r="BB159" s="105">
        <v>0</v>
      </c>
    </row>
    <row r="160" spans="1:54" ht="93.75" outlineLevel="3" x14ac:dyDescent="0.25">
      <c r="A160" s="126" t="s">
        <v>142</v>
      </c>
      <c r="B160" s="127" t="s">
        <v>472</v>
      </c>
      <c r="C160" s="106" t="s">
        <v>67</v>
      </c>
      <c r="D160" s="102" t="s">
        <v>36</v>
      </c>
      <c r="E160" s="103">
        <f t="shared" si="442"/>
        <v>1863.7999999999997</v>
      </c>
      <c r="F160" s="104">
        <f t="shared" si="443"/>
        <v>0</v>
      </c>
      <c r="G160" s="104">
        <f t="shared" si="443"/>
        <v>0</v>
      </c>
      <c r="H160" s="104">
        <f t="shared" si="380"/>
        <v>1863.7999999999997</v>
      </c>
      <c r="I160" s="104">
        <f t="shared" si="444"/>
        <v>0</v>
      </c>
      <c r="J160" s="99">
        <f t="shared" si="445"/>
        <v>0</v>
      </c>
      <c r="K160" s="105">
        <v>0</v>
      </c>
      <c r="L160" s="105">
        <v>0</v>
      </c>
      <c r="M160" s="105">
        <v>0</v>
      </c>
      <c r="N160" s="105">
        <v>0</v>
      </c>
      <c r="O160" s="99">
        <f t="shared" si="446"/>
        <v>330</v>
      </c>
      <c r="P160" s="105">
        <v>0</v>
      </c>
      <c r="Q160" s="105">
        <v>0</v>
      </c>
      <c r="R160" s="105">
        <v>330</v>
      </c>
      <c r="S160" s="105">
        <v>0</v>
      </c>
      <c r="T160" s="99">
        <f t="shared" si="447"/>
        <v>0</v>
      </c>
      <c r="U160" s="105">
        <v>0</v>
      </c>
      <c r="V160" s="105">
        <v>0</v>
      </c>
      <c r="W160" s="105">
        <v>0</v>
      </c>
      <c r="X160" s="105">
        <v>0</v>
      </c>
      <c r="Y160" s="99">
        <f t="shared" si="448"/>
        <v>0</v>
      </c>
      <c r="Z160" s="105">
        <v>0</v>
      </c>
      <c r="AA160" s="105">
        <v>0</v>
      </c>
      <c r="AB160" s="105">
        <v>0</v>
      </c>
      <c r="AC160" s="105">
        <v>0</v>
      </c>
      <c r="AD160" s="99">
        <f t="shared" si="449"/>
        <v>0</v>
      </c>
      <c r="AE160" s="105">
        <v>0</v>
      </c>
      <c r="AF160" s="105">
        <v>0</v>
      </c>
      <c r="AG160" s="105">
        <v>0</v>
      </c>
      <c r="AH160" s="105">
        <v>0</v>
      </c>
      <c r="AI160" s="99">
        <f t="shared" si="450"/>
        <v>1063.0999999999999</v>
      </c>
      <c r="AJ160" s="105">
        <v>0</v>
      </c>
      <c r="AK160" s="105">
        <v>0</v>
      </c>
      <c r="AL160" s="105">
        <f>256.4+806.7</f>
        <v>1063.0999999999999</v>
      </c>
      <c r="AM160" s="105">
        <v>0</v>
      </c>
      <c r="AN160" s="99">
        <f t="shared" si="451"/>
        <v>470.69999999999993</v>
      </c>
      <c r="AO160" s="105">
        <v>0</v>
      </c>
      <c r="AP160" s="105">
        <v>0</v>
      </c>
      <c r="AQ160" s="105">
        <f>279.9-21.8+212.6</f>
        <v>470.69999999999993</v>
      </c>
      <c r="AR160" s="105">
        <v>0</v>
      </c>
      <c r="AS160" s="99">
        <f t="shared" si="452"/>
        <v>0</v>
      </c>
      <c r="AT160" s="105">
        <v>0</v>
      </c>
      <c r="AU160" s="105">
        <v>0</v>
      </c>
      <c r="AV160" s="105"/>
      <c r="AW160" s="105">
        <v>0</v>
      </c>
      <c r="AX160" s="99">
        <f t="shared" si="453"/>
        <v>0</v>
      </c>
      <c r="AY160" s="105">
        <v>0</v>
      </c>
      <c r="AZ160" s="105">
        <v>0</v>
      </c>
      <c r="BA160" s="105">
        <v>0</v>
      </c>
      <c r="BB160" s="105">
        <v>0</v>
      </c>
    </row>
    <row r="161" spans="1:54" ht="93.75" outlineLevel="3" x14ac:dyDescent="0.25">
      <c r="A161" s="126" t="s">
        <v>143</v>
      </c>
      <c r="B161" s="127" t="s">
        <v>473</v>
      </c>
      <c r="C161" s="106" t="s">
        <v>67</v>
      </c>
      <c r="D161" s="102" t="s">
        <v>36</v>
      </c>
      <c r="E161" s="103">
        <f t="shared" si="442"/>
        <v>1043.5</v>
      </c>
      <c r="F161" s="104">
        <f t="shared" si="443"/>
        <v>0</v>
      </c>
      <c r="G161" s="104">
        <f t="shared" si="443"/>
        <v>0</v>
      </c>
      <c r="H161" s="104">
        <f t="shared" si="380"/>
        <v>1043.5</v>
      </c>
      <c r="I161" s="104">
        <f t="shared" si="444"/>
        <v>0</v>
      </c>
      <c r="J161" s="99">
        <f t="shared" si="445"/>
        <v>222</v>
      </c>
      <c r="K161" s="105">
        <v>0</v>
      </c>
      <c r="L161" s="105">
        <v>0</v>
      </c>
      <c r="M161" s="105">
        <v>222</v>
      </c>
      <c r="N161" s="105">
        <v>0</v>
      </c>
      <c r="O161" s="99">
        <f t="shared" si="446"/>
        <v>0</v>
      </c>
      <c r="P161" s="105">
        <v>0</v>
      </c>
      <c r="Q161" s="105">
        <v>0</v>
      </c>
      <c r="R161" s="105">
        <v>0</v>
      </c>
      <c r="S161" s="105">
        <v>0</v>
      </c>
      <c r="T161" s="99">
        <f t="shared" si="447"/>
        <v>0</v>
      </c>
      <c r="U161" s="105">
        <v>0</v>
      </c>
      <c r="V161" s="105">
        <v>0</v>
      </c>
      <c r="W161" s="105">
        <v>0</v>
      </c>
      <c r="X161" s="105">
        <v>0</v>
      </c>
      <c r="Y161" s="99">
        <f t="shared" si="448"/>
        <v>0</v>
      </c>
      <c r="Z161" s="105">
        <v>0</v>
      </c>
      <c r="AA161" s="105">
        <v>0</v>
      </c>
      <c r="AB161" s="105">
        <v>0</v>
      </c>
      <c r="AC161" s="105">
        <v>0</v>
      </c>
      <c r="AD161" s="99">
        <f t="shared" si="449"/>
        <v>320.7</v>
      </c>
      <c r="AE161" s="105">
        <v>0</v>
      </c>
      <c r="AF161" s="105">
        <v>0</v>
      </c>
      <c r="AG161" s="105">
        <v>320.7</v>
      </c>
      <c r="AH161" s="105">
        <v>0</v>
      </c>
      <c r="AI161" s="99">
        <f t="shared" si="450"/>
        <v>0</v>
      </c>
      <c r="AJ161" s="105">
        <v>0</v>
      </c>
      <c r="AK161" s="105">
        <v>0</v>
      </c>
      <c r="AL161" s="105">
        <v>0</v>
      </c>
      <c r="AM161" s="105">
        <v>0</v>
      </c>
      <c r="AN161" s="99">
        <f t="shared" si="451"/>
        <v>0</v>
      </c>
      <c r="AO161" s="105">
        <v>0</v>
      </c>
      <c r="AP161" s="105">
        <v>0</v>
      </c>
      <c r="AQ161" s="105"/>
      <c r="AR161" s="105">
        <v>0</v>
      </c>
      <c r="AS161" s="99">
        <f t="shared" si="452"/>
        <v>0</v>
      </c>
      <c r="AT161" s="105">
        <v>0</v>
      </c>
      <c r="AU161" s="105">
        <v>0</v>
      </c>
      <c r="AV161" s="105"/>
      <c r="AW161" s="105">
        <v>0</v>
      </c>
      <c r="AX161" s="99">
        <f t="shared" si="453"/>
        <v>500.8</v>
      </c>
      <c r="AY161" s="105">
        <v>0</v>
      </c>
      <c r="AZ161" s="105">
        <v>0</v>
      </c>
      <c r="BA161" s="105">
        <v>500.8</v>
      </c>
      <c r="BB161" s="105">
        <v>0</v>
      </c>
    </row>
    <row r="162" spans="1:54" ht="93.75" outlineLevel="3" x14ac:dyDescent="0.25">
      <c r="A162" s="126" t="s">
        <v>144</v>
      </c>
      <c r="B162" s="127" t="s">
        <v>474</v>
      </c>
      <c r="C162" s="106" t="s">
        <v>67</v>
      </c>
      <c r="D162" s="102" t="s">
        <v>36</v>
      </c>
      <c r="E162" s="103">
        <f t="shared" si="442"/>
        <v>832.5</v>
      </c>
      <c r="F162" s="104">
        <f t="shared" si="443"/>
        <v>0</v>
      </c>
      <c r="G162" s="104">
        <f t="shared" si="443"/>
        <v>0</v>
      </c>
      <c r="H162" s="104">
        <f t="shared" si="380"/>
        <v>832.5</v>
      </c>
      <c r="I162" s="104">
        <f t="shared" si="444"/>
        <v>0</v>
      </c>
      <c r="J162" s="99">
        <f t="shared" si="445"/>
        <v>0</v>
      </c>
      <c r="K162" s="105">
        <v>0</v>
      </c>
      <c r="L162" s="105">
        <v>0</v>
      </c>
      <c r="M162" s="105">
        <v>0</v>
      </c>
      <c r="N162" s="105">
        <v>0</v>
      </c>
      <c r="O162" s="99">
        <f t="shared" si="446"/>
        <v>444</v>
      </c>
      <c r="P162" s="105">
        <v>0</v>
      </c>
      <c r="Q162" s="105">
        <v>0</v>
      </c>
      <c r="R162" s="105">
        <f>222+222</f>
        <v>444</v>
      </c>
      <c r="S162" s="105">
        <v>0</v>
      </c>
      <c r="T162" s="99">
        <f t="shared" si="447"/>
        <v>0</v>
      </c>
      <c r="U162" s="105">
        <v>0</v>
      </c>
      <c r="V162" s="105">
        <v>0</v>
      </c>
      <c r="W162" s="105">
        <v>0</v>
      </c>
      <c r="X162" s="105">
        <v>0</v>
      </c>
      <c r="Y162" s="99">
        <f t="shared" si="448"/>
        <v>0</v>
      </c>
      <c r="Z162" s="105">
        <v>0</v>
      </c>
      <c r="AA162" s="105">
        <v>0</v>
      </c>
      <c r="AB162" s="105">
        <f>222-222</f>
        <v>0</v>
      </c>
      <c r="AC162" s="105">
        <v>0</v>
      </c>
      <c r="AD162" s="99">
        <f t="shared" si="449"/>
        <v>0</v>
      </c>
      <c r="AE162" s="105">
        <v>0</v>
      </c>
      <c r="AF162" s="105">
        <v>0</v>
      </c>
      <c r="AG162" s="105">
        <v>0</v>
      </c>
      <c r="AH162" s="105">
        <v>0</v>
      </c>
      <c r="AI162" s="99">
        <f t="shared" si="450"/>
        <v>0</v>
      </c>
      <c r="AJ162" s="105">
        <v>0</v>
      </c>
      <c r="AK162" s="105">
        <v>0</v>
      </c>
      <c r="AL162" s="105">
        <v>0</v>
      </c>
      <c r="AM162" s="105">
        <v>0</v>
      </c>
      <c r="AN162" s="99">
        <f t="shared" si="451"/>
        <v>388.5</v>
      </c>
      <c r="AO162" s="105">
        <v>0</v>
      </c>
      <c r="AP162" s="105">
        <v>0</v>
      </c>
      <c r="AQ162" s="105">
        <f>279.9+108.6</f>
        <v>388.5</v>
      </c>
      <c r="AR162" s="105">
        <v>0</v>
      </c>
      <c r="AS162" s="99">
        <f t="shared" si="452"/>
        <v>0</v>
      </c>
      <c r="AT162" s="105">
        <v>0</v>
      </c>
      <c r="AU162" s="105">
        <v>0</v>
      </c>
      <c r="AV162" s="105"/>
      <c r="AW162" s="105">
        <v>0</v>
      </c>
      <c r="AX162" s="99">
        <f t="shared" si="453"/>
        <v>0</v>
      </c>
      <c r="AY162" s="105">
        <v>0</v>
      </c>
      <c r="AZ162" s="105">
        <v>0</v>
      </c>
      <c r="BA162" s="105">
        <v>0</v>
      </c>
      <c r="BB162" s="105">
        <v>0</v>
      </c>
    </row>
    <row r="163" spans="1:54" ht="93.75" outlineLevel="3" x14ac:dyDescent="0.25">
      <c r="A163" s="126" t="s">
        <v>145</v>
      </c>
      <c r="B163" s="127" t="s">
        <v>475</v>
      </c>
      <c r="C163" s="106" t="s">
        <v>67</v>
      </c>
      <c r="D163" s="102" t="s">
        <v>36</v>
      </c>
      <c r="E163" s="103">
        <f t="shared" si="442"/>
        <v>1429.8000000000002</v>
      </c>
      <c r="F163" s="104">
        <f t="shared" si="443"/>
        <v>0</v>
      </c>
      <c r="G163" s="104">
        <f t="shared" si="443"/>
        <v>0</v>
      </c>
      <c r="H163" s="104">
        <f t="shared" si="380"/>
        <v>1429.8000000000002</v>
      </c>
      <c r="I163" s="104">
        <f t="shared" si="444"/>
        <v>0</v>
      </c>
      <c r="J163" s="99">
        <f t="shared" si="445"/>
        <v>186</v>
      </c>
      <c r="K163" s="105">
        <v>0</v>
      </c>
      <c r="L163" s="105">
        <v>0</v>
      </c>
      <c r="M163" s="105">
        <v>186</v>
      </c>
      <c r="N163" s="105">
        <v>0</v>
      </c>
      <c r="O163" s="99">
        <f t="shared" si="446"/>
        <v>186</v>
      </c>
      <c r="P163" s="105">
        <v>0</v>
      </c>
      <c r="Q163" s="105">
        <v>0</v>
      </c>
      <c r="R163" s="105">
        <v>186</v>
      </c>
      <c r="S163" s="105">
        <v>0</v>
      </c>
      <c r="T163" s="99">
        <f t="shared" si="447"/>
        <v>169.1</v>
      </c>
      <c r="U163" s="105">
        <v>0</v>
      </c>
      <c r="V163" s="105">
        <v>0</v>
      </c>
      <c r="W163" s="105">
        <v>169.1</v>
      </c>
      <c r="X163" s="105">
        <v>0</v>
      </c>
      <c r="Y163" s="99">
        <f t="shared" si="448"/>
        <v>0</v>
      </c>
      <c r="Z163" s="105">
        <v>0</v>
      </c>
      <c r="AA163" s="105">
        <v>0</v>
      </c>
      <c r="AB163" s="105">
        <v>0</v>
      </c>
      <c r="AC163" s="105">
        <v>0</v>
      </c>
      <c r="AD163" s="99">
        <f t="shared" si="449"/>
        <v>0</v>
      </c>
      <c r="AE163" s="105">
        <v>0</v>
      </c>
      <c r="AF163" s="105">
        <v>0</v>
      </c>
      <c r="AG163" s="105">
        <v>0</v>
      </c>
      <c r="AH163" s="105">
        <v>0</v>
      </c>
      <c r="AI163" s="99">
        <f t="shared" si="450"/>
        <v>443.09999999999997</v>
      </c>
      <c r="AJ163" s="105">
        <v>0</v>
      </c>
      <c r="AK163" s="105">
        <v>0</v>
      </c>
      <c r="AL163" s="105">
        <f>256.4+186.7</f>
        <v>443.09999999999997</v>
      </c>
      <c r="AM163" s="105">
        <v>0</v>
      </c>
      <c r="AN163" s="99">
        <f t="shared" si="451"/>
        <v>445.6</v>
      </c>
      <c r="AO163" s="105">
        <v>0</v>
      </c>
      <c r="AP163" s="105">
        <v>0</v>
      </c>
      <c r="AQ163" s="105">
        <f>258.1+187.5</f>
        <v>445.6</v>
      </c>
      <c r="AR163" s="105">
        <v>0</v>
      </c>
      <c r="AS163" s="99">
        <f t="shared" si="452"/>
        <v>0</v>
      </c>
      <c r="AT163" s="105">
        <v>0</v>
      </c>
      <c r="AU163" s="105">
        <v>0</v>
      </c>
      <c r="AV163" s="105"/>
      <c r="AW163" s="105">
        <v>0</v>
      </c>
      <c r="AX163" s="99">
        <f t="shared" si="453"/>
        <v>0</v>
      </c>
      <c r="AY163" s="105">
        <v>0</v>
      </c>
      <c r="AZ163" s="105">
        <v>0</v>
      </c>
      <c r="BA163" s="105">
        <v>0</v>
      </c>
      <c r="BB163" s="105">
        <v>0</v>
      </c>
    </row>
    <row r="164" spans="1:54" ht="93.75" outlineLevel="3" x14ac:dyDescent="0.25">
      <c r="A164" s="126" t="s">
        <v>146</v>
      </c>
      <c r="B164" s="127" t="s">
        <v>476</v>
      </c>
      <c r="C164" s="106" t="s">
        <v>67</v>
      </c>
      <c r="D164" s="102" t="s">
        <v>36</v>
      </c>
      <c r="E164" s="103">
        <f t="shared" ref="E164" si="454">SUM(F164:I164)</f>
        <v>356.6</v>
      </c>
      <c r="F164" s="104">
        <f t="shared" ref="F164" si="455">K164+P164+U164</f>
        <v>0</v>
      </c>
      <c r="G164" s="104">
        <f t="shared" ref="G164" si="456">L164+Q164+V164</f>
        <v>0</v>
      </c>
      <c r="H164" s="104">
        <f t="shared" ref="H164" si="457">M164+R164+W164+AB164+AG164+AL164+AQ164+AV164+BA164</f>
        <v>356.6</v>
      </c>
      <c r="I164" s="104">
        <f t="shared" ref="I164" si="458">N164+S164+X164</f>
        <v>0</v>
      </c>
      <c r="J164" s="99">
        <f t="shared" ref="J164" si="459">SUM(K164:N164)</f>
        <v>0</v>
      </c>
      <c r="K164" s="105">
        <v>0</v>
      </c>
      <c r="L164" s="105">
        <v>0</v>
      </c>
      <c r="M164" s="105">
        <v>0</v>
      </c>
      <c r="N164" s="105">
        <v>0</v>
      </c>
      <c r="O164" s="99">
        <f t="shared" ref="O164" si="460">SUM(P164:S164)</f>
        <v>0</v>
      </c>
      <c r="P164" s="105">
        <v>0</v>
      </c>
      <c r="Q164" s="105">
        <v>0</v>
      </c>
      <c r="R164" s="105">
        <v>0</v>
      </c>
      <c r="S164" s="105">
        <v>0</v>
      </c>
      <c r="T164" s="99">
        <f t="shared" ref="T164" si="461">SUM(U164:X164)</f>
        <v>0</v>
      </c>
      <c r="U164" s="105">
        <v>0</v>
      </c>
      <c r="V164" s="105">
        <v>0</v>
      </c>
      <c r="W164" s="105">
        <v>0</v>
      </c>
      <c r="X164" s="105">
        <v>0</v>
      </c>
      <c r="Y164" s="99">
        <f t="shared" ref="Y164" si="462">SUM(Z164:AC164)</f>
        <v>0</v>
      </c>
      <c r="Z164" s="105">
        <v>0</v>
      </c>
      <c r="AA164" s="105">
        <v>0</v>
      </c>
      <c r="AB164" s="105">
        <v>0</v>
      </c>
      <c r="AC164" s="105">
        <v>0</v>
      </c>
      <c r="AD164" s="99">
        <f t="shared" ref="AD164" si="463">SUM(AE164:AH164)</f>
        <v>0</v>
      </c>
      <c r="AE164" s="105">
        <v>0</v>
      </c>
      <c r="AF164" s="105">
        <v>0</v>
      </c>
      <c r="AG164" s="105">
        <v>0</v>
      </c>
      <c r="AH164" s="105">
        <v>0</v>
      </c>
      <c r="AI164" s="99">
        <f t="shared" ref="AI164" si="464">SUM(AJ164:AM164)</f>
        <v>0</v>
      </c>
      <c r="AJ164" s="105">
        <v>0</v>
      </c>
      <c r="AK164" s="105">
        <v>0</v>
      </c>
      <c r="AL164" s="105">
        <v>0</v>
      </c>
      <c r="AM164" s="105">
        <v>0</v>
      </c>
      <c r="AN164" s="99">
        <f t="shared" si="451"/>
        <v>356.6</v>
      </c>
      <c r="AO164" s="105">
        <v>0</v>
      </c>
      <c r="AP164" s="105">
        <v>0</v>
      </c>
      <c r="AQ164" s="105">
        <f>223.9+132.7</f>
        <v>356.6</v>
      </c>
      <c r="AR164" s="105">
        <v>0</v>
      </c>
      <c r="AS164" s="99">
        <f t="shared" si="452"/>
        <v>0</v>
      </c>
      <c r="AT164" s="105">
        <v>0</v>
      </c>
      <c r="AU164" s="105">
        <v>0</v>
      </c>
      <c r="AV164" s="105"/>
      <c r="AW164" s="105">
        <v>0</v>
      </c>
      <c r="AX164" s="99">
        <f t="shared" si="453"/>
        <v>0</v>
      </c>
      <c r="AY164" s="105">
        <v>0</v>
      </c>
      <c r="AZ164" s="105">
        <v>0</v>
      </c>
      <c r="BA164" s="105">
        <v>0</v>
      </c>
      <c r="BB164" s="105">
        <v>0</v>
      </c>
    </row>
    <row r="165" spans="1:54" ht="93.75" outlineLevel="3" x14ac:dyDescent="0.25">
      <c r="A165" s="126" t="s">
        <v>147</v>
      </c>
      <c r="B165" s="127" t="s">
        <v>477</v>
      </c>
      <c r="C165" s="106" t="s">
        <v>67</v>
      </c>
      <c r="D165" s="102" t="s">
        <v>36</v>
      </c>
      <c r="E165" s="103">
        <f t="shared" si="442"/>
        <v>1012.5999999999999</v>
      </c>
      <c r="F165" s="104">
        <f t="shared" si="443"/>
        <v>0</v>
      </c>
      <c r="G165" s="104">
        <f t="shared" si="443"/>
        <v>0</v>
      </c>
      <c r="H165" s="104">
        <f t="shared" si="380"/>
        <v>1012.5999999999999</v>
      </c>
      <c r="I165" s="104">
        <f t="shared" si="444"/>
        <v>0</v>
      </c>
      <c r="J165" s="99">
        <f t="shared" si="445"/>
        <v>150</v>
      </c>
      <c r="K165" s="105">
        <v>0</v>
      </c>
      <c r="L165" s="105">
        <v>0</v>
      </c>
      <c r="M165" s="105">
        <v>150</v>
      </c>
      <c r="N165" s="105">
        <v>0</v>
      </c>
      <c r="O165" s="99">
        <f t="shared" si="446"/>
        <v>0</v>
      </c>
      <c r="P165" s="105">
        <v>0</v>
      </c>
      <c r="Q165" s="105">
        <v>0</v>
      </c>
      <c r="R165" s="105">
        <v>0</v>
      </c>
      <c r="S165" s="105">
        <v>0</v>
      </c>
      <c r="T165" s="99">
        <f t="shared" si="447"/>
        <v>150</v>
      </c>
      <c r="U165" s="105">
        <v>0</v>
      </c>
      <c r="V165" s="105">
        <v>0</v>
      </c>
      <c r="W165" s="105">
        <v>150</v>
      </c>
      <c r="X165" s="105">
        <v>0</v>
      </c>
      <c r="Y165" s="99">
        <f t="shared" si="448"/>
        <v>0</v>
      </c>
      <c r="Z165" s="105">
        <v>0</v>
      </c>
      <c r="AA165" s="105">
        <v>0</v>
      </c>
      <c r="AB165" s="105">
        <v>0</v>
      </c>
      <c r="AC165" s="105">
        <v>0</v>
      </c>
      <c r="AD165" s="99">
        <f t="shared" si="449"/>
        <v>0</v>
      </c>
      <c r="AE165" s="105">
        <v>0</v>
      </c>
      <c r="AF165" s="105">
        <v>0</v>
      </c>
      <c r="AG165" s="105">
        <v>0</v>
      </c>
      <c r="AH165" s="105">
        <v>0</v>
      </c>
      <c r="AI165" s="99">
        <f t="shared" si="450"/>
        <v>355.29999999999995</v>
      </c>
      <c r="AJ165" s="105">
        <v>0</v>
      </c>
      <c r="AK165" s="105">
        <v>0</v>
      </c>
      <c r="AL165" s="105">
        <f>208.2+147.1</f>
        <v>355.29999999999995</v>
      </c>
      <c r="AM165" s="105">
        <v>0</v>
      </c>
      <c r="AN165" s="99">
        <f t="shared" si="451"/>
        <v>0</v>
      </c>
      <c r="AO165" s="105">
        <v>0</v>
      </c>
      <c r="AP165" s="105">
        <v>0</v>
      </c>
      <c r="AQ165" s="105"/>
      <c r="AR165" s="105">
        <v>0</v>
      </c>
      <c r="AS165" s="99">
        <f t="shared" si="452"/>
        <v>357.3</v>
      </c>
      <c r="AT165" s="105">
        <v>0</v>
      </c>
      <c r="AU165" s="105">
        <v>0</v>
      </c>
      <c r="AV165" s="105">
        <f>210.5+146.8</f>
        <v>357.3</v>
      </c>
      <c r="AW165" s="105">
        <v>0</v>
      </c>
      <c r="AX165" s="99">
        <f t="shared" si="453"/>
        <v>0</v>
      </c>
      <c r="AY165" s="105">
        <v>0</v>
      </c>
      <c r="AZ165" s="105">
        <v>0</v>
      </c>
      <c r="BA165" s="105">
        <v>0</v>
      </c>
      <c r="BB165" s="105">
        <v>0</v>
      </c>
    </row>
    <row r="166" spans="1:54" ht="93.75" outlineLevel="3" x14ac:dyDescent="0.25">
      <c r="A166" s="126" t="s">
        <v>148</v>
      </c>
      <c r="B166" s="127" t="s">
        <v>478</v>
      </c>
      <c r="C166" s="106" t="s">
        <v>67</v>
      </c>
      <c r="D166" s="102" t="s">
        <v>36</v>
      </c>
      <c r="E166" s="103">
        <f t="shared" si="442"/>
        <v>609.29999999999995</v>
      </c>
      <c r="F166" s="104">
        <f t="shared" si="443"/>
        <v>0</v>
      </c>
      <c r="G166" s="104">
        <f t="shared" si="443"/>
        <v>0</v>
      </c>
      <c r="H166" s="104">
        <f t="shared" si="380"/>
        <v>609.29999999999995</v>
      </c>
      <c r="I166" s="104">
        <f t="shared" si="444"/>
        <v>0</v>
      </c>
      <c r="J166" s="99">
        <f t="shared" si="445"/>
        <v>186</v>
      </c>
      <c r="K166" s="105">
        <v>0</v>
      </c>
      <c r="L166" s="105">
        <v>0</v>
      </c>
      <c r="M166" s="105">
        <v>186</v>
      </c>
      <c r="N166" s="105">
        <v>0</v>
      </c>
      <c r="O166" s="99">
        <f t="shared" si="446"/>
        <v>0</v>
      </c>
      <c r="P166" s="105">
        <v>0</v>
      </c>
      <c r="Q166" s="105">
        <v>0</v>
      </c>
      <c r="R166" s="105">
        <v>0</v>
      </c>
      <c r="S166" s="105">
        <v>0</v>
      </c>
      <c r="T166" s="99">
        <f t="shared" si="447"/>
        <v>0</v>
      </c>
      <c r="U166" s="105">
        <v>0</v>
      </c>
      <c r="V166" s="105">
        <v>0</v>
      </c>
      <c r="W166" s="105">
        <v>0</v>
      </c>
      <c r="X166" s="105">
        <v>0</v>
      </c>
      <c r="Y166" s="99">
        <f t="shared" si="448"/>
        <v>0</v>
      </c>
      <c r="Z166" s="105">
        <v>0</v>
      </c>
      <c r="AA166" s="105">
        <v>0</v>
      </c>
      <c r="AB166" s="105">
        <v>0</v>
      </c>
      <c r="AC166" s="105">
        <v>0</v>
      </c>
      <c r="AD166" s="99">
        <f t="shared" si="449"/>
        <v>0</v>
      </c>
      <c r="AE166" s="105">
        <v>0</v>
      </c>
      <c r="AF166" s="105">
        <v>0</v>
      </c>
      <c r="AG166" s="105">
        <v>0</v>
      </c>
      <c r="AH166" s="105">
        <v>0</v>
      </c>
      <c r="AI166" s="99">
        <f t="shared" si="450"/>
        <v>423.3</v>
      </c>
      <c r="AJ166" s="105">
        <v>0</v>
      </c>
      <c r="AK166" s="105">
        <v>0</v>
      </c>
      <c r="AL166" s="105">
        <f>301.3+122</f>
        <v>423.3</v>
      </c>
      <c r="AM166" s="105">
        <v>0</v>
      </c>
      <c r="AN166" s="99">
        <f t="shared" si="451"/>
        <v>0</v>
      </c>
      <c r="AO166" s="105">
        <v>0</v>
      </c>
      <c r="AP166" s="105">
        <v>0</v>
      </c>
      <c r="AQ166" s="105"/>
      <c r="AR166" s="105">
        <v>0</v>
      </c>
      <c r="AS166" s="99">
        <f t="shared" si="452"/>
        <v>0</v>
      </c>
      <c r="AT166" s="105">
        <v>0</v>
      </c>
      <c r="AU166" s="105">
        <v>0</v>
      </c>
      <c r="AV166" s="105"/>
      <c r="AW166" s="105">
        <v>0</v>
      </c>
      <c r="AX166" s="99">
        <f t="shared" si="453"/>
        <v>0</v>
      </c>
      <c r="AY166" s="105">
        <v>0</v>
      </c>
      <c r="AZ166" s="105">
        <v>0</v>
      </c>
      <c r="BA166" s="105">
        <v>0</v>
      </c>
      <c r="BB166" s="105">
        <v>0</v>
      </c>
    </row>
    <row r="167" spans="1:54" ht="93.75" outlineLevel="3" x14ac:dyDescent="0.25">
      <c r="A167" s="126" t="s">
        <v>158</v>
      </c>
      <c r="B167" s="127" t="s">
        <v>479</v>
      </c>
      <c r="C167" s="106" t="s">
        <v>67</v>
      </c>
      <c r="D167" s="102" t="s">
        <v>36</v>
      </c>
      <c r="E167" s="103">
        <f t="shared" si="442"/>
        <v>844.80000000000007</v>
      </c>
      <c r="F167" s="104">
        <f t="shared" si="443"/>
        <v>0</v>
      </c>
      <c r="G167" s="104">
        <f t="shared" si="443"/>
        <v>0</v>
      </c>
      <c r="H167" s="104">
        <f t="shared" si="380"/>
        <v>844.80000000000007</v>
      </c>
      <c r="I167" s="104">
        <f t="shared" si="444"/>
        <v>0</v>
      </c>
      <c r="J167" s="99">
        <f t="shared" si="445"/>
        <v>0</v>
      </c>
      <c r="K167" s="105">
        <v>0</v>
      </c>
      <c r="L167" s="105">
        <v>0</v>
      </c>
      <c r="M167" s="105">
        <v>0</v>
      </c>
      <c r="N167" s="105">
        <v>0</v>
      </c>
      <c r="O167" s="99">
        <f t="shared" si="446"/>
        <v>186</v>
      </c>
      <c r="P167" s="105">
        <v>0</v>
      </c>
      <c r="Q167" s="105">
        <v>0</v>
      </c>
      <c r="R167" s="105">
        <v>186</v>
      </c>
      <c r="S167" s="105">
        <v>0</v>
      </c>
      <c r="T167" s="99">
        <f t="shared" si="447"/>
        <v>0</v>
      </c>
      <c r="U167" s="105">
        <v>0</v>
      </c>
      <c r="V167" s="105">
        <v>0</v>
      </c>
      <c r="W167" s="105">
        <v>0</v>
      </c>
      <c r="X167" s="105">
        <v>0</v>
      </c>
      <c r="Y167" s="99">
        <f t="shared" si="448"/>
        <v>0</v>
      </c>
      <c r="Z167" s="105">
        <v>0</v>
      </c>
      <c r="AA167" s="105">
        <v>0</v>
      </c>
      <c r="AB167" s="105">
        <v>0</v>
      </c>
      <c r="AC167" s="105">
        <v>0</v>
      </c>
      <c r="AD167" s="99">
        <f t="shared" si="449"/>
        <v>0</v>
      </c>
      <c r="AE167" s="105">
        <v>0</v>
      </c>
      <c r="AF167" s="105">
        <v>0</v>
      </c>
      <c r="AG167" s="105">
        <v>0</v>
      </c>
      <c r="AH167" s="105">
        <v>0</v>
      </c>
      <c r="AI167" s="99">
        <f t="shared" si="450"/>
        <v>266.10000000000002</v>
      </c>
      <c r="AJ167" s="105">
        <v>0</v>
      </c>
      <c r="AK167" s="105">
        <v>0</v>
      </c>
      <c r="AL167" s="105">
        <v>266.10000000000002</v>
      </c>
      <c r="AM167" s="105">
        <v>0</v>
      </c>
      <c r="AN167" s="99">
        <f t="shared" si="451"/>
        <v>392.70000000000005</v>
      </c>
      <c r="AO167" s="105">
        <v>0</v>
      </c>
      <c r="AP167" s="105">
        <v>0</v>
      </c>
      <c r="AQ167" s="105">
        <f>244-14.6+163.3</f>
        <v>392.70000000000005</v>
      </c>
      <c r="AR167" s="105">
        <v>0</v>
      </c>
      <c r="AS167" s="99">
        <f t="shared" si="452"/>
        <v>0</v>
      </c>
      <c r="AT167" s="105">
        <v>0</v>
      </c>
      <c r="AU167" s="105">
        <v>0</v>
      </c>
      <c r="AV167" s="105">
        <v>0</v>
      </c>
      <c r="AW167" s="105">
        <v>0</v>
      </c>
      <c r="AX167" s="99">
        <f t="shared" si="453"/>
        <v>0</v>
      </c>
      <c r="AY167" s="105">
        <v>0</v>
      </c>
      <c r="AZ167" s="105">
        <v>0</v>
      </c>
      <c r="BA167" s="105">
        <v>0</v>
      </c>
      <c r="BB167" s="105">
        <v>0</v>
      </c>
    </row>
    <row r="168" spans="1:54" ht="93.75" outlineLevel="2" x14ac:dyDescent="0.25">
      <c r="A168" s="126" t="s">
        <v>159</v>
      </c>
      <c r="B168" s="127" t="s">
        <v>465</v>
      </c>
      <c r="C168" s="106" t="s">
        <v>67</v>
      </c>
      <c r="D168" s="102" t="s">
        <v>36</v>
      </c>
      <c r="E168" s="103">
        <f t="shared" si="442"/>
        <v>781.7</v>
      </c>
      <c r="F168" s="104">
        <f t="shared" si="443"/>
        <v>0</v>
      </c>
      <c r="G168" s="104">
        <f t="shared" si="443"/>
        <v>0</v>
      </c>
      <c r="H168" s="104">
        <f t="shared" si="380"/>
        <v>781.7</v>
      </c>
      <c r="I168" s="113"/>
      <c r="J168" s="99">
        <v>0</v>
      </c>
      <c r="K168" s="105">
        <v>0</v>
      </c>
      <c r="L168" s="105">
        <v>0</v>
      </c>
      <c r="M168" s="105">
        <v>0</v>
      </c>
      <c r="N168" s="105">
        <v>0</v>
      </c>
      <c r="O168" s="131">
        <f t="shared" si="446"/>
        <v>222</v>
      </c>
      <c r="P168" s="105">
        <v>0</v>
      </c>
      <c r="Q168" s="105">
        <v>0</v>
      </c>
      <c r="R168" s="132">
        <v>222</v>
      </c>
      <c r="S168" s="105">
        <v>0</v>
      </c>
      <c r="T168" s="99">
        <f t="shared" si="447"/>
        <v>0</v>
      </c>
      <c r="U168" s="105">
        <v>0</v>
      </c>
      <c r="V168" s="105">
        <v>0</v>
      </c>
      <c r="W168" s="105">
        <v>0</v>
      </c>
      <c r="X168" s="105">
        <v>0</v>
      </c>
      <c r="Y168" s="99">
        <f t="shared" si="448"/>
        <v>0</v>
      </c>
      <c r="Z168" s="105">
        <v>0</v>
      </c>
      <c r="AA168" s="105">
        <v>0</v>
      </c>
      <c r="AB168" s="105">
        <v>0</v>
      </c>
      <c r="AC168" s="105">
        <v>0</v>
      </c>
      <c r="AD168" s="99">
        <f t="shared" si="449"/>
        <v>0</v>
      </c>
      <c r="AE168" s="105">
        <v>0</v>
      </c>
      <c r="AF168" s="105">
        <v>0</v>
      </c>
      <c r="AG168" s="105">
        <v>0</v>
      </c>
      <c r="AH168" s="105">
        <v>0</v>
      </c>
      <c r="AI168" s="99">
        <f t="shared" si="450"/>
        <v>0</v>
      </c>
      <c r="AJ168" s="105">
        <v>0</v>
      </c>
      <c r="AK168" s="105">
        <v>0</v>
      </c>
      <c r="AL168" s="105">
        <v>0</v>
      </c>
      <c r="AM168" s="105">
        <v>0</v>
      </c>
      <c r="AN168" s="99">
        <f t="shared" si="451"/>
        <v>559.70000000000005</v>
      </c>
      <c r="AO168" s="105">
        <v>0</v>
      </c>
      <c r="AP168" s="105">
        <v>0</v>
      </c>
      <c r="AQ168" s="105">
        <f>279.9+279.8</f>
        <v>559.70000000000005</v>
      </c>
      <c r="AR168" s="105">
        <v>0</v>
      </c>
      <c r="AS168" s="99">
        <f t="shared" si="452"/>
        <v>0</v>
      </c>
      <c r="AT168" s="105">
        <v>0</v>
      </c>
      <c r="AU168" s="105">
        <v>0</v>
      </c>
      <c r="AV168" s="105">
        <v>0</v>
      </c>
      <c r="AW168" s="105">
        <v>0</v>
      </c>
      <c r="AX168" s="99">
        <f t="shared" si="453"/>
        <v>0</v>
      </c>
      <c r="AY168" s="105">
        <v>0</v>
      </c>
      <c r="AZ168" s="105">
        <v>0</v>
      </c>
      <c r="BA168" s="105">
        <v>0</v>
      </c>
      <c r="BB168" s="105">
        <v>0</v>
      </c>
    </row>
    <row r="169" spans="1:54" ht="93.75" outlineLevel="2" x14ac:dyDescent="0.25">
      <c r="A169" s="126" t="s">
        <v>348</v>
      </c>
      <c r="B169" s="127" t="s">
        <v>491</v>
      </c>
      <c r="C169" s="106" t="s">
        <v>67</v>
      </c>
      <c r="D169" s="102" t="s">
        <v>36</v>
      </c>
      <c r="E169" s="103">
        <f t="shared" si="442"/>
        <v>1747.3</v>
      </c>
      <c r="F169" s="104">
        <f t="shared" ref="F169:G169" si="465">K169+P169+U169</f>
        <v>0</v>
      </c>
      <c r="G169" s="104">
        <f t="shared" si="465"/>
        <v>0</v>
      </c>
      <c r="H169" s="104">
        <f t="shared" si="380"/>
        <v>1747.3</v>
      </c>
      <c r="I169" s="113"/>
      <c r="J169" s="99">
        <v>0</v>
      </c>
      <c r="K169" s="105">
        <v>0</v>
      </c>
      <c r="L169" s="105">
        <v>0</v>
      </c>
      <c r="M169" s="105">
        <v>0</v>
      </c>
      <c r="N169" s="105">
        <v>0</v>
      </c>
      <c r="O169" s="131">
        <f t="shared" si="446"/>
        <v>294</v>
      </c>
      <c r="P169" s="105">
        <v>0</v>
      </c>
      <c r="Q169" s="105">
        <v>0</v>
      </c>
      <c r="R169" s="132">
        <v>294</v>
      </c>
      <c r="S169" s="105">
        <v>0</v>
      </c>
      <c r="T169" s="99">
        <f t="shared" si="447"/>
        <v>0</v>
      </c>
      <c r="U169" s="105">
        <v>0</v>
      </c>
      <c r="V169" s="105">
        <v>0</v>
      </c>
      <c r="W169" s="105">
        <v>0</v>
      </c>
      <c r="X169" s="105">
        <v>0</v>
      </c>
      <c r="Y169" s="99">
        <f t="shared" si="448"/>
        <v>0</v>
      </c>
      <c r="Z169" s="105">
        <v>0</v>
      </c>
      <c r="AA169" s="105">
        <v>0</v>
      </c>
      <c r="AB169" s="105">
        <v>0</v>
      </c>
      <c r="AC169" s="105">
        <v>0</v>
      </c>
      <c r="AD169" s="99">
        <f t="shared" si="449"/>
        <v>0</v>
      </c>
      <c r="AE169" s="105">
        <v>0</v>
      </c>
      <c r="AF169" s="105">
        <v>0</v>
      </c>
      <c r="AG169" s="105">
        <v>0</v>
      </c>
      <c r="AH169" s="105">
        <v>0</v>
      </c>
      <c r="AI169" s="99">
        <f t="shared" si="450"/>
        <v>0</v>
      </c>
      <c r="AJ169" s="105">
        <v>0</v>
      </c>
      <c r="AK169" s="105">
        <v>0</v>
      </c>
      <c r="AL169" s="105">
        <v>0</v>
      </c>
      <c r="AM169" s="105">
        <v>0</v>
      </c>
      <c r="AN169" s="99">
        <f t="shared" si="451"/>
        <v>1453.3</v>
      </c>
      <c r="AO169" s="105">
        <v>0</v>
      </c>
      <c r="AP169" s="105">
        <v>0</v>
      </c>
      <c r="AQ169" s="105">
        <f>448.2+1005.1</f>
        <v>1453.3</v>
      </c>
      <c r="AR169" s="105">
        <v>0</v>
      </c>
      <c r="AS169" s="99">
        <f t="shared" si="452"/>
        <v>0</v>
      </c>
      <c r="AT169" s="105">
        <v>0</v>
      </c>
      <c r="AU169" s="105">
        <v>0</v>
      </c>
      <c r="AV169" s="105">
        <v>0</v>
      </c>
      <c r="AW169" s="105">
        <v>0</v>
      </c>
      <c r="AX169" s="99">
        <f t="shared" si="453"/>
        <v>0</v>
      </c>
      <c r="AY169" s="105">
        <v>0</v>
      </c>
      <c r="AZ169" s="105">
        <v>0</v>
      </c>
      <c r="BA169" s="105">
        <v>0</v>
      </c>
      <c r="BB169" s="105">
        <v>0</v>
      </c>
    </row>
    <row r="170" spans="1:54" ht="93.75" outlineLevel="2" x14ac:dyDescent="0.25">
      <c r="A170" s="126" t="s">
        <v>390</v>
      </c>
      <c r="B170" s="127" t="s">
        <v>469</v>
      </c>
      <c r="C170" s="106" t="s">
        <v>67</v>
      </c>
      <c r="D170" s="102" t="s">
        <v>36</v>
      </c>
      <c r="E170" s="103">
        <f t="shared" ref="E170" si="466">SUM(F170:I170)</f>
        <v>216.2</v>
      </c>
      <c r="F170" s="104">
        <f t="shared" ref="F170" si="467">K170+P170+U170</f>
        <v>0</v>
      </c>
      <c r="G170" s="104">
        <f t="shared" ref="G170" si="468">L170+Q170+V170</f>
        <v>0</v>
      </c>
      <c r="H170" s="104">
        <f t="shared" si="380"/>
        <v>216.2</v>
      </c>
      <c r="I170" s="113"/>
      <c r="J170" s="99">
        <v>0</v>
      </c>
      <c r="K170" s="105">
        <v>0</v>
      </c>
      <c r="L170" s="105">
        <v>0</v>
      </c>
      <c r="M170" s="105">
        <v>0</v>
      </c>
      <c r="N170" s="105">
        <v>0</v>
      </c>
      <c r="O170" s="131">
        <f t="shared" ref="O170" si="469">SUM(P170:S170)</f>
        <v>0</v>
      </c>
      <c r="P170" s="105">
        <v>0</v>
      </c>
      <c r="Q170" s="105">
        <v>0</v>
      </c>
      <c r="R170" s="132">
        <v>0</v>
      </c>
      <c r="S170" s="105">
        <v>0</v>
      </c>
      <c r="T170" s="99">
        <f t="shared" ref="T170" si="470">SUM(U170:X170)</f>
        <v>0</v>
      </c>
      <c r="U170" s="105">
        <v>0</v>
      </c>
      <c r="V170" s="105">
        <v>0</v>
      </c>
      <c r="W170" s="105">
        <v>0</v>
      </c>
      <c r="X170" s="105">
        <v>0</v>
      </c>
      <c r="Y170" s="99">
        <f t="shared" ref="Y170" si="471">SUM(Z170:AC170)</f>
        <v>0</v>
      </c>
      <c r="Z170" s="105">
        <v>0</v>
      </c>
      <c r="AA170" s="105">
        <v>0</v>
      </c>
      <c r="AB170" s="105">
        <v>0</v>
      </c>
      <c r="AC170" s="105">
        <v>0</v>
      </c>
      <c r="AD170" s="99">
        <f t="shared" ref="AD170" si="472">SUM(AE170:AH170)</f>
        <v>216.2</v>
      </c>
      <c r="AE170" s="105">
        <v>0</v>
      </c>
      <c r="AF170" s="105">
        <v>0</v>
      </c>
      <c r="AG170" s="105">
        <f>150+66.2</f>
        <v>216.2</v>
      </c>
      <c r="AH170" s="105">
        <v>0</v>
      </c>
      <c r="AI170" s="99">
        <f t="shared" ref="AI170" si="473">SUM(AJ170:AM170)</f>
        <v>0</v>
      </c>
      <c r="AJ170" s="105">
        <v>0</v>
      </c>
      <c r="AK170" s="105">
        <v>0</v>
      </c>
      <c r="AL170" s="105">
        <v>0</v>
      </c>
      <c r="AM170" s="105">
        <v>0</v>
      </c>
      <c r="AN170" s="99">
        <f t="shared" si="451"/>
        <v>0</v>
      </c>
      <c r="AO170" s="105">
        <v>0</v>
      </c>
      <c r="AP170" s="105">
        <v>0</v>
      </c>
      <c r="AQ170" s="105">
        <v>0</v>
      </c>
      <c r="AR170" s="105">
        <v>0</v>
      </c>
      <c r="AS170" s="99">
        <f t="shared" si="452"/>
        <v>0</v>
      </c>
      <c r="AT170" s="105">
        <v>0</v>
      </c>
      <c r="AU170" s="105">
        <v>0</v>
      </c>
      <c r="AV170" s="105">
        <v>0</v>
      </c>
      <c r="AW170" s="105">
        <v>0</v>
      </c>
      <c r="AX170" s="99">
        <f t="shared" si="453"/>
        <v>0</v>
      </c>
      <c r="AY170" s="105">
        <v>0</v>
      </c>
      <c r="AZ170" s="105">
        <v>0</v>
      </c>
      <c r="BA170" s="105">
        <v>0</v>
      </c>
      <c r="BB170" s="105">
        <v>0</v>
      </c>
    </row>
    <row r="175" spans="1:54" x14ac:dyDescent="0.25">
      <c r="E175" s="94"/>
      <c r="F175" s="94"/>
      <c r="G175" s="94"/>
      <c r="H175" s="94"/>
      <c r="I175" s="94"/>
      <c r="J175" s="94"/>
      <c r="K175" s="94"/>
      <c r="L175" s="94"/>
      <c r="M175" s="94"/>
      <c r="N175" s="94"/>
      <c r="O175" s="94"/>
      <c r="P175" s="94"/>
      <c r="Q175" s="94"/>
      <c r="R175" s="94"/>
      <c r="S175" s="94"/>
      <c r="T175" s="94"/>
      <c r="U175" s="94"/>
      <c r="V175" s="94"/>
      <c r="W175" s="94"/>
      <c r="X175" s="94">
        <f>X172-X9</f>
        <v>0</v>
      </c>
      <c r="Y175" s="94"/>
      <c r="Z175" s="94"/>
      <c r="AA175" s="94"/>
      <c r="AB175" s="94"/>
      <c r="AC175" s="94">
        <f>AC172-AC9</f>
        <v>0</v>
      </c>
      <c r="AD175" s="94"/>
      <c r="AE175" s="94"/>
      <c r="AF175" s="94"/>
      <c r="AG175" s="94"/>
      <c r="AH175" s="94">
        <f>AH172-AH9</f>
        <v>0</v>
      </c>
      <c r="AI175" s="94"/>
      <c r="AJ175" s="94"/>
      <c r="AK175" s="94"/>
      <c r="AL175" s="94"/>
      <c r="AM175" s="94">
        <f>AM172-AM9</f>
        <v>0</v>
      </c>
      <c r="AN175" s="94"/>
      <c r="AO175" s="94"/>
      <c r="AP175" s="94"/>
      <c r="AQ175" s="94"/>
      <c r="AR175" s="94">
        <f>AR172-AR9</f>
        <v>0</v>
      </c>
      <c r="AS175" s="94"/>
      <c r="AT175" s="94"/>
      <c r="AU175" s="94"/>
      <c r="AV175" s="94"/>
      <c r="AW175" s="94">
        <f>AW172-AW9</f>
        <v>0</v>
      </c>
      <c r="AX175" s="94"/>
      <c r="AY175" s="94"/>
      <c r="AZ175" s="94"/>
      <c r="BA175" s="94"/>
      <c r="BB175" s="94">
        <f>BB172-BB9</f>
        <v>0</v>
      </c>
    </row>
  </sheetData>
  <autoFilter ref="A4:X7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4">
    <mergeCell ref="AV1:BA1"/>
    <mergeCell ref="A36:A37"/>
    <mergeCell ref="B36:B37"/>
    <mergeCell ref="AD5:AH5"/>
    <mergeCell ref="A4:A7"/>
    <mergeCell ref="B4:B7"/>
    <mergeCell ref="C4:C7"/>
    <mergeCell ref="D4:D7"/>
    <mergeCell ref="E4:I5"/>
    <mergeCell ref="AJ6:AM6"/>
    <mergeCell ref="AI6:AI7"/>
    <mergeCell ref="J4:BA4"/>
    <mergeCell ref="AX5:BB5"/>
    <mergeCell ref="AX6:AX7"/>
    <mergeCell ref="AD6:AD7"/>
    <mergeCell ref="E6:E7"/>
    <mergeCell ref="B151:D151"/>
    <mergeCell ref="B42:D42"/>
    <mergeCell ref="B43:D43"/>
    <mergeCell ref="B57:D57"/>
    <mergeCell ref="B92:D92"/>
    <mergeCell ref="B95:D95"/>
    <mergeCell ref="B101:D101"/>
    <mergeCell ref="C106:C108"/>
    <mergeCell ref="D106:D108"/>
    <mergeCell ref="B111:D111"/>
    <mergeCell ref="B112:D112"/>
    <mergeCell ref="B132:D132"/>
    <mergeCell ref="B75:D75"/>
    <mergeCell ref="B68:D68"/>
    <mergeCell ref="B87:D87"/>
    <mergeCell ref="B89:D89"/>
    <mergeCell ref="A39:A40"/>
    <mergeCell ref="B15:D15"/>
    <mergeCell ref="B9:D9"/>
    <mergeCell ref="B10:D10"/>
    <mergeCell ref="B11:D11"/>
    <mergeCell ref="B39:B41"/>
    <mergeCell ref="C39:C41"/>
    <mergeCell ref="B30:D30"/>
    <mergeCell ref="B31:D31"/>
    <mergeCell ref="K6:N6"/>
    <mergeCell ref="O6:O7"/>
    <mergeCell ref="P6:S6"/>
    <mergeCell ref="AI5:AM5"/>
    <mergeCell ref="AN6:AN7"/>
    <mergeCell ref="AN5:AR5"/>
    <mergeCell ref="AE6:AH6"/>
    <mergeCell ref="AF2:AY2"/>
    <mergeCell ref="F6:I6"/>
    <mergeCell ref="B20:D20"/>
    <mergeCell ref="B25:D25"/>
    <mergeCell ref="Y5:AC5"/>
    <mergeCell ref="T6:T7"/>
    <mergeCell ref="U6:X6"/>
    <mergeCell ref="Y6:Y7"/>
    <mergeCell ref="Z6:AC6"/>
    <mergeCell ref="J6:J7"/>
    <mergeCell ref="J5:N5"/>
    <mergeCell ref="O5:S5"/>
    <mergeCell ref="T5:X5"/>
    <mergeCell ref="E2:X2"/>
    <mergeCell ref="AS5:AW5"/>
    <mergeCell ref="AS6:AS7"/>
  </mergeCells>
  <printOptions horizontalCentered="1"/>
  <pageMargins left="0.19685039370078741" right="0" top="0" bottom="0" header="0.31496062992125984" footer="0.31496062992125984"/>
  <pageSetup paperSize="9" scale="29" fitToWidth="2" fitToHeight="8" orientation="landscape" r:id="rId1"/>
  <colBreaks count="1" manualBreakCount="1">
    <brk id="29" max="16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43"/>
  <sheetViews>
    <sheetView view="pageBreakPreview" topLeftCell="A11" zoomScale="80" zoomScaleNormal="100" zoomScaleSheetLayoutView="80" workbookViewId="0">
      <selection activeCell="D42" sqref="D42"/>
    </sheetView>
  </sheetViews>
  <sheetFormatPr defaultColWidth="9.140625" defaultRowHeight="16.5" x14ac:dyDescent="0.25"/>
  <cols>
    <col min="1" max="1" width="4.5703125" style="138" customWidth="1"/>
    <col min="2" max="2" width="28.42578125" style="138" customWidth="1"/>
    <col min="3" max="3" width="19.85546875" style="139" customWidth="1" collapsed="1"/>
    <col min="4" max="4" width="17.7109375" style="139" customWidth="1"/>
    <col min="5" max="5" width="15.28515625" style="138" customWidth="1"/>
    <col min="6" max="6" width="15.42578125" style="138" customWidth="1"/>
    <col min="7" max="7" width="14.5703125" style="140" customWidth="1"/>
    <col min="8" max="8" width="16.85546875" style="141" hidden="1" customWidth="1"/>
    <col min="9" max="9" width="16.85546875" style="138" hidden="1" customWidth="1"/>
    <col min="10" max="10" width="14.85546875" style="138" customWidth="1" collapsed="1"/>
    <col min="11" max="11" width="15.7109375" style="138" hidden="1" customWidth="1"/>
    <col min="12" max="12" width="15.7109375" style="141" hidden="1" customWidth="1"/>
    <col min="13" max="13" width="15.28515625" style="139" customWidth="1" collapsed="1"/>
    <col min="14" max="14" width="16.85546875" style="138" hidden="1" customWidth="1" collapsed="1"/>
    <col min="15" max="15" width="16.85546875" style="138" hidden="1" customWidth="1"/>
    <col min="16" max="16" width="14.7109375" style="138" customWidth="1" collapsed="1"/>
    <col min="17" max="17" width="14.5703125" style="138" customWidth="1" collapsed="1"/>
    <col min="18" max="18" width="16.5703125" style="138" customWidth="1" collapsed="1"/>
    <col min="19" max="19" width="14.140625" style="138" customWidth="1" collapsed="1"/>
    <col min="20" max="21" width="6.85546875" style="138" bestFit="1" customWidth="1"/>
    <col min="22" max="22" width="10.28515625" style="138" bestFit="1" customWidth="1"/>
    <col min="23" max="23" width="3.85546875" style="138" bestFit="1" customWidth="1"/>
    <col min="24" max="25" width="9.28515625" style="138" customWidth="1"/>
    <col min="26" max="16384" width="9.140625" style="138"/>
  </cols>
  <sheetData>
    <row r="1" spans="2:19" s="135" customFormat="1" ht="77.25" customHeight="1" x14ac:dyDescent="0.25">
      <c r="B1" s="133"/>
      <c r="C1" s="134"/>
      <c r="D1" s="134"/>
      <c r="G1" s="134"/>
      <c r="K1" s="136"/>
      <c r="L1" s="136"/>
      <c r="M1" s="136"/>
      <c r="N1" s="136"/>
      <c r="O1" s="136"/>
      <c r="P1" s="136"/>
      <c r="Q1" s="217" t="s">
        <v>377</v>
      </c>
      <c r="R1" s="217"/>
      <c r="S1" s="217"/>
    </row>
    <row r="2" spans="2:19" s="135" customFormat="1" ht="17.25" customHeight="1" x14ac:dyDescent="0.25">
      <c r="B2" s="133"/>
      <c r="C2" s="134"/>
      <c r="D2" s="134"/>
      <c r="G2" s="134"/>
      <c r="J2" s="137"/>
      <c r="K2" s="137"/>
      <c r="L2" s="137"/>
      <c r="M2" s="137"/>
      <c r="N2" s="137"/>
      <c r="O2" s="137"/>
      <c r="P2" s="137"/>
      <c r="Q2" s="137"/>
      <c r="R2" s="137"/>
      <c r="S2" s="137"/>
    </row>
    <row r="3" spans="2:19" ht="34.5" customHeight="1" x14ac:dyDescent="0.25">
      <c r="B3" s="216" t="s">
        <v>383</v>
      </c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</row>
    <row r="4" spans="2:19" x14ac:dyDescent="0.25">
      <c r="M4" s="142"/>
    </row>
    <row r="5" spans="2:19" ht="15" customHeight="1" x14ac:dyDescent="0.25">
      <c r="B5" s="219" t="s">
        <v>4</v>
      </c>
      <c r="C5" s="218" t="s">
        <v>169</v>
      </c>
      <c r="D5" s="218" t="s">
        <v>173</v>
      </c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</row>
    <row r="6" spans="2:19" ht="18.75" customHeight="1" x14ac:dyDescent="0.25">
      <c r="B6" s="219"/>
      <c r="C6" s="218"/>
      <c r="D6" s="218" t="s">
        <v>1</v>
      </c>
      <c r="E6" s="218" t="s">
        <v>171</v>
      </c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</row>
    <row r="7" spans="2:19" ht="18.75" customHeight="1" x14ac:dyDescent="0.25">
      <c r="B7" s="219"/>
      <c r="C7" s="218"/>
      <c r="D7" s="218"/>
      <c r="E7" s="158">
        <v>2017</v>
      </c>
      <c r="F7" s="158">
        <v>2018</v>
      </c>
      <c r="G7" s="158">
        <v>2019</v>
      </c>
      <c r="H7" s="158"/>
      <c r="I7" s="158"/>
      <c r="J7" s="158">
        <v>2020</v>
      </c>
      <c r="K7" s="158"/>
      <c r="L7" s="158"/>
      <c r="M7" s="158">
        <v>2021</v>
      </c>
      <c r="N7" s="158"/>
      <c r="O7" s="158"/>
      <c r="P7" s="158">
        <v>2022</v>
      </c>
      <c r="Q7" s="158">
        <v>2023</v>
      </c>
      <c r="R7" s="158">
        <v>2024</v>
      </c>
      <c r="S7" s="158">
        <v>2025</v>
      </c>
    </row>
    <row r="8" spans="2:19" s="144" customFormat="1" x14ac:dyDescent="0.25">
      <c r="B8" s="143">
        <v>1</v>
      </c>
      <c r="C8" s="143">
        <v>2</v>
      </c>
      <c r="D8" s="143">
        <v>3</v>
      </c>
      <c r="E8" s="143">
        <v>4</v>
      </c>
      <c r="F8" s="143">
        <v>5</v>
      </c>
      <c r="G8" s="143">
        <v>6</v>
      </c>
      <c r="H8" s="143">
        <v>7</v>
      </c>
      <c r="I8" s="143">
        <v>8</v>
      </c>
      <c r="J8" s="143">
        <v>7</v>
      </c>
      <c r="K8" s="143">
        <v>10</v>
      </c>
      <c r="L8" s="143">
        <v>11</v>
      </c>
      <c r="M8" s="143">
        <v>8</v>
      </c>
      <c r="N8" s="143">
        <v>13</v>
      </c>
      <c r="O8" s="143">
        <v>14</v>
      </c>
      <c r="P8" s="143">
        <v>9</v>
      </c>
      <c r="Q8" s="143">
        <v>10</v>
      </c>
      <c r="R8" s="143">
        <v>11</v>
      </c>
      <c r="S8" s="143">
        <v>12</v>
      </c>
    </row>
    <row r="9" spans="2:19" s="139" customFormat="1" ht="41.25" customHeight="1" x14ac:dyDescent="0.25">
      <c r="B9" s="214" t="s">
        <v>399</v>
      </c>
      <c r="C9" s="145" t="s">
        <v>170</v>
      </c>
      <c r="D9" s="146">
        <f t="shared" ref="D9:S9" si="0">SUM(D10:D12)</f>
        <v>2691047</v>
      </c>
      <c r="E9" s="146">
        <f t="shared" si="0"/>
        <v>246073.60000000003</v>
      </c>
      <c r="F9" s="146">
        <f t="shared" si="0"/>
        <v>261112.30000000002</v>
      </c>
      <c r="G9" s="146">
        <f t="shared" si="0"/>
        <v>262991.80000000005</v>
      </c>
      <c r="H9" s="146">
        <f t="shared" si="0"/>
        <v>0</v>
      </c>
      <c r="I9" s="146">
        <f t="shared" si="0"/>
        <v>0</v>
      </c>
      <c r="J9" s="146">
        <f t="shared" si="0"/>
        <v>270818</v>
      </c>
      <c r="K9" s="146">
        <f t="shared" si="0"/>
        <v>0</v>
      </c>
      <c r="L9" s="146">
        <f t="shared" si="0"/>
        <v>0</v>
      </c>
      <c r="M9" s="146">
        <f t="shared" si="0"/>
        <v>326773.49999999994</v>
      </c>
      <c r="N9" s="146">
        <f t="shared" si="0"/>
        <v>0</v>
      </c>
      <c r="O9" s="146">
        <f t="shared" si="0"/>
        <v>0</v>
      </c>
      <c r="P9" s="146">
        <f t="shared" si="0"/>
        <v>311271.2</v>
      </c>
      <c r="Q9" s="146">
        <f t="shared" si="0"/>
        <v>327475.09999999998</v>
      </c>
      <c r="R9" s="146">
        <f t="shared" si="0"/>
        <v>339376.2</v>
      </c>
      <c r="S9" s="146">
        <f t="shared" si="0"/>
        <v>345155.3</v>
      </c>
    </row>
    <row r="10" spans="2:19" ht="35.25" customHeight="1" x14ac:dyDescent="0.25">
      <c r="B10" s="214"/>
      <c r="C10" s="148" t="s">
        <v>30</v>
      </c>
      <c r="D10" s="147">
        <f t="shared" ref="D10:D12" si="1">SUM(E10:P10)</f>
        <v>0</v>
      </c>
      <c r="E10" s="147">
        <f t="shared" ref="E10:S10" si="2">E14+E18+E22+E26+E30+E34</f>
        <v>0</v>
      </c>
      <c r="F10" s="147">
        <f t="shared" si="2"/>
        <v>0</v>
      </c>
      <c r="G10" s="147">
        <f t="shared" si="2"/>
        <v>0</v>
      </c>
      <c r="H10" s="147">
        <f t="shared" si="2"/>
        <v>0</v>
      </c>
      <c r="I10" s="147">
        <f t="shared" si="2"/>
        <v>0</v>
      </c>
      <c r="J10" s="147">
        <f t="shared" si="2"/>
        <v>0</v>
      </c>
      <c r="K10" s="147">
        <f t="shared" si="2"/>
        <v>0</v>
      </c>
      <c r="L10" s="147">
        <f t="shared" si="2"/>
        <v>0</v>
      </c>
      <c r="M10" s="147">
        <f t="shared" si="2"/>
        <v>0</v>
      </c>
      <c r="N10" s="147">
        <f t="shared" si="2"/>
        <v>0</v>
      </c>
      <c r="O10" s="147">
        <f t="shared" si="2"/>
        <v>0</v>
      </c>
      <c r="P10" s="147">
        <f t="shared" si="2"/>
        <v>0</v>
      </c>
      <c r="Q10" s="147">
        <f t="shared" si="2"/>
        <v>0</v>
      </c>
      <c r="R10" s="147">
        <f t="shared" si="2"/>
        <v>0</v>
      </c>
      <c r="S10" s="147">
        <f t="shared" si="2"/>
        <v>0</v>
      </c>
    </row>
    <row r="11" spans="2:19" ht="35.25" customHeight="1" x14ac:dyDescent="0.25">
      <c r="B11" s="214"/>
      <c r="C11" s="148" t="s">
        <v>31</v>
      </c>
      <c r="D11" s="147">
        <f>SUM(E11:S11)</f>
        <v>2691047</v>
      </c>
      <c r="E11" s="147">
        <f t="shared" ref="E11:P11" si="3">E15+E19+E23+E27+E31+E35</f>
        <v>246073.60000000003</v>
      </c>
      <c r="F11" s="147">
        <f t="shared" si="3"/>
        <v>261112.30000000002</v>
      </c>
      <c r="G11" s="147">
        <f t="shared" si="3"/>
        <v>262991.80000000005</v>
      </c>
      <c r="H11" s="147">
        <f t="shared" si="3"/>
        <v>0</v>
      </c>
      <c r="I11" s="147">
        <f t="shared" si="3"/>
        <v>0</v>
      </c>
      <c r="J11" s="147">
        <f t="shared" si="3"/>
        <v>270818</v>
      </c>
      <c r="K11" s="147">
        <f t="shared" si="3"/>
        <v>0</v>
      </c>
      <c r="L11" s="147">
        <f t="shared" si="3"/>
        <v>0</v>
      </c>
      <c r="M11" s="147">
        <f t="shared" si="3"/>
        <v>326773.49999999994</v>
      </c>
      <c r="N11" s="147">
        <f t="shared" si="3"/>
        <v>0</v>
      </c>
      <c r="O11" s="147">
        <f t="shared" si="3"/>
        <v>0</v>
      </c>
      <c r="P11" s="147">
        <f t="shared" si="3"/>
        <v>311271.2</v>
      </c>
      <c r="Q11" s="147">
        <f>ROUND((Q15+Q19+Q23+Q27+Q31+Q35),1)</f>
        <v>327475.09999999998</v>
      </c>
      <c r="R11" s="147">
        <f>ROUND((R15+R19+R23+R27+R31+R35),1)</f>
        <v>339376.2</v>
      </c>
      <c r="S11" s="147">
        <f>ROUND((S15+S19+S23+S27+S31+S35),1)</f>
        <v>345155.3</v>
      </c>
    </row>
    <row r="12" spans="2:19" ht="34.5" customHeight="1" x14ac:dyDescent="0.25">
      <c r="B12" s="214"/>
      <c r="C12" s="148" t="s">
        <v>172</v>
      </c>
      <c r="D12" s="147">
        <f t="shared" si="1"/>
        <v>0</v>
      </c>
      <c r="E12" s="147">
        <f t="shared" ref="E12:P12" si="4">E16+E20+E24+E28+E32+E36</f>
        <v>0</v>
      </c>
      <c r="F12" s="147">
        <f t="shared" si="4"/>
        <v>0</v>
      </c>
      <c r="G12" s="147">
        <f t="shared" si="4"/>
        <v>0</v>
      </c>
      <c r="H12" s="147">
        <f t="shared" si="4"/>
        <v>0</v>
      </c>
      <c r="I12" s="147">
        <f t="shared" si="4"/>
        <v>0</v>
      </c>
      <c r="J12" s="147">
        <f t="shared" si="4"/>
        <v>0</v>
      </c>
      <c r="K12" s="147">
        <f t="shared" si="4"/>
        <v>0</v>
      </c>
      <c r="L12" s="147">
        <f t="shared" si="4"/>
        <v>0</v>
      </c>
      <c r="M12" s="147">
        <f t="shared" si="4"/>
        <v>0</v>
      </c>
      <c r="N12" s="147">
        <f t="shared" si="4"/>
        <v>0</v>
      </c>
      <c r="O12" s="147">
        <f t="shared" si="4"/>
        <v>0</v>
      </c>
      <c r="P12" s="147">
        <f t="shared" si="4"/>
        <v>0</v>
      </c>
      <c r="Q12" s="147">
        <f>Q16+Q20+Q24+Q28+Q32+Q36</f>
        <v>0</v>
      </c>
      <c r="R12" s="147">
        <f>R16+R20+R24+R28+R32+R36</f>
        <v>0</v>
      </c>
      <c r="S12" s="147">
        <f>S16+S20+S24+S28+S32+S36</f>
        <v>0</v>
      </c>
    </row>
    <row r="13" spans="2:19" ht="33" customHeight="1" x14ac:dyDescent="0.25">
      <c r="B13" s="215" t="s">
        <v>5</v>
      </c>
      <c r="C13" s="145" t="s">
        <v>170</v>
      </c>
      <c r="D13" s="146">
        <f t="shared" ref="D13:S13" si="5">SUM(D14:D16)</f>
        <v>964760.3</v>
      </c>
      <c r="E13" s="146">
        <f t="shared" si="5"/>
        <v>100018.40000000001</v>
      </c>
      <c r="F13" s="146">
        <f t="shared" si="5"/>
        <v>91057.200000000012</v>
      </c>
      <c r="G13" s="146">
        <f t="shared" si="5"/>
        <v>93670.1</v>
      </c>
      <c r="H13" s="146">
        <f t="shared" si="5"/>
        <v>0</v>
      </c>
      <c r="I13" s="146">
        <f t="shared" si="5"/>
        <v>0</v>
      </c>
      <c r="J13" s="146">
        <f t="shared" si="5"/>
        <v>102618.8</v>
      </c>
      <c r="K13" s="146">
        <f t="shared" si="5"/>
        <v>0</v>
      </c>
      <c r="L13" s="146">
        <f t="shared" si="5"/>
        <v>0</v>
      </c>
      <c r="M13" s="146">
        <f t="shared" si="5"/>
        <v>107007.09999999999</v>
      </c>
      <c r="N13" s="146">
        <f t="shared" si="5"/>
        <v>0</v>
      </c>
      <c r="O13" s="146">
        <f t="shared" si="5"/>
        <v>0</v>
      </c>
      <c r="P13" s="146">
        <f t="shared" si="5"/>
        <v>112691.60000000002</v>
      </c>
      <c r="Q13" s="146">
        <f t="shared" si="5"/>
        <v>115957.69999999998</v>
      </c>
      <c r="R13" s="146">
        <f t="shared" si="5"/>
        <v>121094.8</v>
      </c>
      <c r="S13" s="146">
        <f t="shared" si="5"/>
        <v>120644.6</v>
      </c>
    </row>
    <row r="14" spans="2:19" ht="33.75" customHeight="1" x14ac:dyDescent="0.25">
      <c r="B14" s="215"/>
      <c r="C14" s="148" t="s">
        <v>30</v>
      </c>
      <c r="D14" s="147">
        <f>SUM(E14:P14)</f>
        <v>0</v>
      </c>
      <c r="E14" s="147">
        <f>'Приложение 2 -ТЭО'!L10</f>
        <v>0</v>
      </c>
      <c r="F14" s="147">
        <f>'Приложение 2 -ТЭО'!Q10</f>
        <v>0</v>
      </c>
      <c r="G14" s="147">
        <f>'Приложение 2 -ТЭО'!V10</f>
        <v>0</v>
      </c>
      <c r="H14" s="147"/>
      <c r="I14" s="147"/>
      <c r="J14" s="147">
        <f>'Приложение 2 -ТЭО'!AA10</f>
        <v>0</v>
      </c>
      <c r="K14" s="147"/>
      <c r="L14" s="147"/>
      <c r="M14" s="147">
        <f>'Приложение 2 -ТЭО'!AF10</f>
        <v>0</v>
      </c>
      <c r="N14" s="147"/>
      <c r="O14" s="147"/>
      <c r="P14" s="147">
        <f>'Приложение 2 -ТЭО'!AK10</f>
        <v>0</v>
      </c>
      <c r="Q14" s="147">
        <v>0</v>
      </c>
      <c r="R14" s="147">
        <f>'Приложение 2 -ТЭО'!AM10</f>
        <v>0</v>
      </c>
      <c r="S14" s="147">
        <v>0</v>
      </c>
    </row>
    <row r="15" spans="2:19" ht="35.25" customHeight="1" x14ac:dyDescent="0.25">
      <c r="B15" s="215"/>
      <c r="C15" s="148" t="s">
        <v>31</v>
      </c>
      <c r="D15" s="147">
        <f>SUM(E15:S15)</f>
        <v>964760.3</v>
      </c>
      <c r="E15" s="147">
        <f>'Приложение 2 -ТЭО'!M10</f>
        <v>100018.40000000001</v>
      </c>
      <c r="F15" s="147">
        <f>'Приложение 2 -ТЭО'!R10</f>
        <v>91057.200000000012</v>
      </c>
      <c r="G15" s="147">
        <f>'Приложение 2 -ТЭО'!W10</f>
        <v>93670.1</v>
      </c>
      <c r="H15" s="147"/>
      <c r="I15" s="147"/>
      <c r="J15" s="147">
        <f>'Приложение 2 -ТЭО'!AB10</f>
        <v>102618.8</v>
      </c>
      <c r="K15" s="147"/>
      <c r="L15" s="147"/>
      <c r="M15" s="147">
        <f>'Приложение 2 -ТЭО'!AG10</f>
        <v>107007.09999999999</v>
      </c>
      <c r="N15" s="147"/>
      <c r="O15" s="147"/>
      <c r="P15" s="147">
        <f>'Приложение 2 -ТЭО'!AL10</f>
        <v>112691.60000000002</v>
      </c>
      <c r="Q15" s="147">
        <f>'Приложение 2 -ТЭО'!AQ10</f>
        <v>115957.69999999998</v>
      </c>
      <c r="R15" s="147">
        <f>'Приложение 2 -ТЭО'!AV10</f>
        <v>121094.8</v>
      </c>
      <c r="S15" s="147">
        <f>'Приложение 2 -ТЭО'!BA10</f>
        <v>120644.6</v>
      </c>
    </row>
    <row r="16" spans="2:19" ht="35.25" customHeight="1" x14ac:dyDescent="0.25">
      <c r="B16" s="215"/>
      <c r="C16" s="148" t="s">
        <v>172</v>
      </c>
      <c r="D16" s="147">
        <f t="shared" ref="D16" si="6">SUM(E16:P16)</f>
        <v>0</v>
      </c>
      <c r="E16" s="147">
        <f>'Приложение 2 -ТЭО'!N10</f>
        <v>0</v>
      </c>
      <c r="F16" s="147">
        <f>'Приложение 2 -ТЭО'!S10</f>
        <v>0</v>
      </c>
      <c r="G16" s="147">
        <f>'Приложение 2 -ТЭО'!X10</f>
        <v>0</v>
      </c>
      <c r="H16" s="147"/>
      <c r="I16" s="147"/>
      <c r="J16" s="147">
        <f>'Приложение 2 -ТЭО'!AC10</f>
        <v>0</v>
      </c>
      <c r="K16" s="147"/>
      <c r="L16" s="147"/>
      <c r="M16" s="147">
        <f>'Приложение 2 -ТЭО'!AH10</f>
        <v>0</v>
      </c>
      <c r="N16" s="147"/>
      <c r="O16" s="147"/>
      <c r="P16" s="147">
        <f>'Приложение 2 -ТЭО'!AM10</f>
        <v>0</v>
      </c>
      <c r="Q16" s="147">
        <v>0</v>
      </c>
      <c r="R16" s="147">
        <f>'Приложение 2 -ТЭО'!AO10</f>
        <v>0</v>
      </c>
      <c r="S16" s="147">
        <f>'Приложение 2 -ТЭО'!AP10</f>
        <v>0</v>
      </c>
    </row>
    <row r="17" spans="2:19" ht="30" customHeight="1" x14ac:dyDescent="0.25">
      <c r="B17" s="215" t="s">
        <v>37</v>
      </c>
      <c r="C17" s="146" t="s">
        <v>170</v>
      </c>
      <c r="D17" s="146">
        <f t="shared" ref="D17:S17" si="7">SUM(D18:D20)</f>
        <v>70674</v>
      </c>
      <c r="E17" s="146">
        <f t="shared" si="7"/>
        <v>14976.8</v>
      </c>
      <c r="F17" s="146">
        <f t="shared" si="7"/>
        <v>13914.800000000001</v>
      </c>
      <c r="G17" s="146">
        <f t="shared" si="7"/>
        <v>5103.8</v>
      </c>
      <c r="H17" s="146">
        <f t="shared" si="7"/>
        <v>0</v>
      </c>
      <c r="I17" s="146">
        <f t="shared" si="7"/>
        <v>0</v>
      </c>
      <c r="J17" s="146">
        <f t="shared" si="7"/>
        <v>3866.5</v>
      </c>
      <c r="K17" s="146">
        <f t="shared" si="7"/>
        <v>0</v>
      </c>
      <c r="L17" s="146">
        <f t="shared" si="7"/>
        <v>0</v>
      </c>
      <c r="M17" s="146">
        <f t="shared" si="7"/>
        <v>32812.1</v>
      </c>
      <c r="N17" s="146">
        <f t="shared" si="7"/>
        <v>0</v>
      </c>
      <c r="O17" s="146">
        <f t="shared" si="7"/>
        <v>0</v>
      </c>
      <c r="P17" s="146">
        <f t="shared" si="7"/>
        <v>0</v>
      </c>
      <c r="Q17" s="146">
        <f t="shared" si="7"/>
        <v>0</v>
      </c>
      <c r="R17" s="146">
        <f t="shared" si="7"/>
        <v>0</v>
      </c>
      <c r="S17" s="146">
        <f t="shared" si="7"/>
        <v>0</v>
      </c>
    </row>
    <row r="18" spans="2:19" ht="33" customHeight="1" x14ac:dyDescent="0.25">
      <c r="B18" s="215"/>
      <c r="C18" s="148" t="s">
        <v>30</v>
      </c>
      <c r="D18" s="147">
        <f t="shared" ref="D18:D20" si="8">SUM(E18:P18)</f>
        <v>0</v>
      </c>
      <c r="E18" s="147">
        <f>'Приложение 2 -ТЭО'!L30</f>
        <v>0</v>
      </c>
      <c r="F18" s="147">
        <f>'Приложение 2 -ТЭО'!Q30</f>
        <v>0</v>
      </c>
      <c r="G18" s="147">
        <f>'Приложение 2 -ТЭО'!V30</f>
        <v>0</v>
      </c>
      <c r="H18" s="147"/>
      <c r="I18" s="147"/>
      <c r="J18" s="147">
        <f>'Приложение 2 -ТЭО'!AA30</f>
        <v>0</v>
      </c>
      <c r="K18" s="147"/>
      <c r="L18" s="147"/>
      <c r="M18" s="147">
        <f>'Приложение 2 -ТЭО'!AF30</f>
        <v>0</v>
      </c>
      <c r="N18" s="147"/>
      <c r="O18" s="147"/>
      <c r="P18" s="147">
        <f>'Приложение 2 -ТЭО'!AK30</f>
        <v>0</v>
      </c>
      <c r="Q18" s="147">
        <v>0</v>
      </c>
      <c r="R18" s="147">
        <f>'Приложение 2 -ТЭО'!AM30</f>
        <v>0</v>
      </c>
      <c r="S18" s="147">
        <v>0</v>
      </c>
    </row>
    <row r="19" spans="2:19" ht="34.5" customHeight="1" x14ac:dyDescent="0.25">
      <c r="B19" s="215"/>
      <c r="C19" s="148" t="s">
        <v>31</v>
      </c>
      <c r="D19" s="147">
        <f>SUM(E19:S19)</f>
        <v>70674</v>
      </c>
      <c r="E19" s="147">
        <f>'Приложение 2 -ТЭО'!M30</f>
        <v>14976.8</v>
      </c>
      <c r="F19" s="147">
        <f>'Приложение 2 -ТЭО'!R30</f>
        <v>13914.800000000001</v>
      </c>
      <c r="G19" s="147">
        <f>'Приложение 2 -ТЭО'!W30</f>
        <v>5103.8</v>
      </c>
      <c r="H19" s="147"/>
      <c r="I19" s="147"/>
      <c r="J19" s="147">
        <f>'Приложение 2 -ТЭО'!AB30</f>
        <v>3866.5</v>
      </c>
      <c r="K19" s="147"/>
      <c r="L19" s="147"/>
      <c r="M19" s="147">
        <f>'Приложение 2 -ТЭО'!AG30</f>
        <v>32812.1</v>
      </c>
      <c r="N19" s="147"/>
      <c r="O19" s="147"/>
      <c r="P19" s="147">
        <f>'Приложение 2 -ТЭО'!AL30</f>
        <v>0</v>
      </c>
      <c r="Q19" s="147">
        <f>'Приложение 2 -ТЭО'!AQ30</f>
        <v>0</v>
      </c>
      <c r="R19" s="147">
        <f>'Приложение 2 -ТЭО'!AV30</f>
        <v>0</v>
      </c>
      <c r="S19" s="147">
        <f>'Приложение 2 -ТЭО'!BA30</f>
        <v>0</v>
      </c>
    </row>
    <row r="20" spans="2:19" ht="35.25" customHeight="1" x14ac:dyDescent="0.25">
      <c r="B20" s="215"/>
      <c r="C20" s="148" t="s">
        <v>172</v>
      </c>
      <c r="D20" s="147">
        <f t="shared" si="8"/>
        <v>0</v>
      </c>
      <c r="E20" s="147">
        <f>'Приложение 2 -ТЭО'!N30</f>
        <v>0</v>
      </c>
      <c r="F20" s="147">
        <f>'Приложение 2 -ТЭО'!S30</f>
        <v>0</v>
      </c>
      <c r="G20" s="147">
        <f>'Приложение 2 -ТЭО'!X30</f>
        <v>0</v>
      </c>
      <c r="H20" s="147"/>
      <c r="I20" s="147"/>
      <c r="J20" s="147">
        <f>'Приложение 2 -ТЭО'!AC30</f>
        <v>0</v>
      </c>
      <c r="K20" s="147"/>
      <c r="L20" s="147"/>
      <c r="M20" s="147">
        <f>'Приложение 2 -ТЭО'!AH30</f>
        <v>0</v>
      </c>
      <c r="N20" s="147"/>
      <c r="O20" s="147"/>
      <c r="P20" s="147">
        <f>'Приложение 2 -ТЭО'!AM30</f>
        <v>0</v>
      </c>
      <c r="Q20" s="147">
        <v>0</v>
      </c>
      <c r="R20" s="147">
        <f>'Приложение 2 -ТЭО'!AO30</f>
        <v>0</v>
      </c>
      <c r="S20" s="147">
        <f>'Приложение 2 -ТЭО'!AP30</f>
        <v>0</v>
      </c>
    </row>
    <row r="21" spans="2:19" ht="35.25" customHeight="1" x14ac:dyDescent="0.25">
      <c r="B21" s="215" t="s">
        <v>17</v>
      </c>
      <c r="C21" s="145" t="s">
        <v>170</v>
      </c>
      <c r="D21" s="146">
        <f t="shared" ref="D21:S21" si="9">SUM(D22:D24)</f>
        <v>830208.8</v>
      </c>
      <c r="E21" s="146">
        <f t="shared" si="9"/>
        <v>63428</v>
      </c>
      <c r="F21" s="146">
        <f t="shared" si="9"/>
        <v>79769</v>
      </c>
      <c r="G21" s="146">
        <f t="shared" si="9"/>
        <v>83659.200000000012</v>
      </c>
      <c r="H21" s="146">
        <f t="shared" si="9"/>
        <v>0</v>
      </c>
      <c r="I21" s="146">
        <f t="shared" si="9"/>
        <v>0</v>
      </c>
      <c r="J21" s="146">
        <f t="shared" si="9"/>
        <v>81968</v>
      </c>
      <c r="K21" s="146">
        <f t="shared" si="9"/>
        <v>0</v>
      </c>
      <c r="L21" s="146">
        <f t="shared" si="9"/>
        <v>0</v>
      </c>
      <c r="M21" s="146">
        <f t="shared" si="9"/>
        <v>95445.400000000009</v>
      </c>
      <c r="N21" s="146">
        <f t="shared" si="9"/>
        <v>0</v>
      </c>
      <c r="O21" s="146">
        <f t="shared" si="9"/>
        <v>0</v>
      </c>
      <c r="P21" s="146">
        <f t="shared" si="9"/>
        <v>101393.29999999999</v>
      </c>
      <c r="Q21" s="146">
        <f t="shared" si="9"/>
        <v>103621.8</v>
      </c>
      <c r="R21" s="146">
        <f t="shared" si="9"/>
        <v>108909.1</v>
      </c>
      <c r="S21" s="146">
        <f t="shared" si="9"/>
        <v>112015.00000000001</v>
      </c>
    </row>
    <row r="22" spans="2:19" ht="30" customHeight="1" x14ac:dyDescent="0.25">
      <c r="B22" s="215"/>
      <c r="C22" s="153" t="s">
        <v>30</v>
      </c>
      <c r="D22" s="147">
        <f t="shared" ref="D22:D24" si="10">SUM(E22:P22)</f>
        <v>0</v>
      </c>
      <c r="E22" s="147">
        <f>'Приложение 2 -ТЭО'!L92</f>
        <v>0</v>
      </c>
      <c r="F22" s="147">
        <f>'Приложение 2 -ТЭО'!Q92</f>
        <v>0</v>
      </c>
      <c r="G22" s="147">
        <f>'Приложение 2 -ТЭО'!V92</f>
        <v>0</v>
      </c>
      <c r="H22" s="147"/>
      <c r="I22" s="147"/>
      <c r="J22" s="147">
        <f>'Приложение 2 -ТЭО'!AA92</f>
        <v>0</v>
      </c>
      <c r="K22" s="147"/>
      <c r="L22" s="147"/>
      <c r="M22" s="147">
        <f>'Приложение 2 -ТЭО'!AF92</f>
        <v>0</v>
      </c>
      <c r="N22" s="147"/>
      <c r="O22" s="147"/>
      <c r="P22" s="147">
        <f>'Приложение 2 -ТЭО'!AK92</f>
        <v>0</v>
      </c>
      <c r="Q22" s="147">
        <v>0</v>
      </c>
      <c r="R22" s="147">
        <f>'Приложение 2 -ТЭО'!AM92</f>
        <v>0</v>
      </c>
      <c r="S22" s="147">
        <v>0</v>
      </c>
    </row>
    <row r="23" spans="2:19" ht="33" customHeight="1" x14ac:dyDescent="0.25">
      <c r="B23" s="215"/>
      <c r="C23" s="153" t="s">
        <v>31</v>
      </c>
      <c r="D23" s="147">
        <f>SUM(E23:S23)</f>
        <v>830208.8</v>
      </c>
      <c r="E23" s="147">
        <f>'Приложение 2 -ТЭО'!M92</f>
        <v>63428</v>
      </c>
      <c r="F23" s="147">
        <f>'Приложение 2 -ТЭО'!R92</f>
        <v>79769</v>
      </c>
      <c r="G23" s="147">
        <f>'Приложение 2 -ТЭО'!W92</f>
        <v>83659.200000000012</v>
      </c>
      <c r="H23" s="147"/>
      <c r="I23" s="147"/>
      <c r="J23" s="147">
        <f>'Приложение 2 -ТЭО'!AB92</f>
        <v>81968</v>
      </c>
      <c r="K23" s="147"/>
      <c r="L23" s="147"/>
      <c r="M23" s="147">
        <f>'Приложение 2 -ТЭО'!AG92</f>
        <v>95445.400000000009</v>
      </c>
      <c r="N23" s="147"/>
      <c r="O23" s="147"/>
      <c r="P23" s="147">
        <f>'Приложение 2 -ТЭО'!AL92</f>
        <v>101393.29999999999</v>
      </c>
      <c r="Q23" s="147">
        <f>'Приложение 2 -ТЭО'!AQ92</f>
        <v>103621.8</v>
      </c>
      <c r="R23" s="147">
        <f>'Приложение 2 -ТЭО'!AV92</f>
        <v>108909.1</v>
      </c>
      <c r="S23" s="147">
        <f>'Приложение 2 -ТЭО'!BA92</f>
        <v>112015.00000000001</v>
      </c>
    </row>
    <row r="24" spans="2:19" ht="41.25" customHeight="1" x14ac:dyDescent="0.25">
      <c r="B24" s="215"/>
      <c r="C24" s="153" t="s">
        <v>172</v>
      </c>
      <c r="D24" s="147">
        <f t="shared" si="10"/>
        <v>0</v>
      </c>
      <c r="E24" s="147">
        <f>'Приложение 2 -ТЭО'!N92</f>
        <v>0</v>
      </c>
      <c r="F24" s="147">
        <f>'Приложение 2 -ТЭО'!S92</f>
        <v>0</v>
      </c>
      <c r="G24" s="147">
        <f>'Приложение 2 -ТЭО'!X92</f>
        <v>0</v>
      </c>
      <c r="H24" s="147"/>
      <c r="I24" s="147"/>
      <c r="J24" s="147">
        <f>'Приложение 2 -ТЭО'!AC92</f>
        <v>0</v>
      </c>
      <c r="K24" s="147"/>
      <c r="L24" s="147"/>
      <c r="M24" s="147">
        <f>'Приложение 2 -ТЭО'!AH92</f>
        <v>0</v>
      </c>
      <c r="N24" s="147"/>
      <c r="O24" s="147"/>
      <c r="P24" s="147">
        <f>'Приложение 2 -ТЭО'!AM92</f>
        <v>0</v>
      </c>
      <c r="Q24" s="147">
        <v>0</v>
      </c>
      <c r="R24" s="147">
        <f>'Приложение 2 -ТЭО'!AO92</f>
        <v>0</v>
      </c>
      <c r="S24" s="147">
        <f>'Приложение 2 -ТЭО'!AP92</f>
        <v>0</v>
      </c>
    </row>
    <row r="25" spans="2:19" ht="35.25" customHeight="1" x14ac:dyDescent="0.25">
      <c r="B25" s="215" t="s">
        <v>18</v>
      </c>
      <c r="C25" s="145" t="s">
        <v>170</v>
      </c>
      <c r="D25" s="146">
        <f t="shared" ref="D25:S25" si="11">SUM(D26:D28)</f>
        <v>25638.300000000003</v>
      </c>
      <c r="E25" s="146">
        <f t="shared" si="11"/>
        <v>2129.9</v>
      </c>
      <c r="F25" s="146">
        <f t="shared" si="11"/>
        <v>2423</v>
      </c>
      <c r="G25" s="146">
        <f t="shared" si="11"/>
        <v>3043.7</v>
      </c>
      <c r="H25" s="146">
        <f t="shared" si="11"/>
        <v>0</v>
      </c>
      <c r="I25" s="146">
        <f t="shared" si="11"/>
        <v>0</v>
      </c>
      <c r="J25" s="146">
        <f t="shared" si="11"/>
        <v>2549.2000000000003</v>
      </c>
      <c r="K25" s="146">
        <f t="shared" si="11"/>
        <v>0</v>
      </c>
      <c r="L25" s="146">
        <f t="shared" si="11"/>
        <v>0</v>
      </c>
      <c r="M25" s="146">
        <f t="shared" si="11"/>
        <v>3191.4</v>
      </c>
      <c r="N25" s="146">
        <f t="shared" si="11"/>
        <v>0</v>
      </c>
      <c r="O25" s="146">
        <f t="shared" si="11"/>
        <v>0</v>
      </c>
      <c r="P25" s="146">
        <f t="shared" si="11"/>
        <v>3121.8</v>
      </c>
      <c r="Q25" s="146">
        <f t="shared" si="11"/>
        <v>3021.2</v>
      </c>
      <c r="R25" s="146">
        <f t="shared" si="11"/>
        <v>3018.7</v>
      </c>
      <c r="S25" s="146">
        <f t="shared" si="11"/>
        <v>3139.4</v>
      </c>
    </row>
    <row r="26" spans="2:19" ht="35.25" customHeight="1" x14ac:dyDescent="0.25">
      <c r="B26" s="215"/>
      <c r="C26" s="153" t="s">
        <v>30</v>
      </c>
      <c r="D26" s="147">
        <f t="shared" ref="D26:D28" si="12">SUM(E26:P26)</f>
        <v>0</v>
      </c>
      <c r="E26" s="147">
        <f>'Приложение 2 -ТЭО'!L95</f>
        <v>0</v>
      </c>
      <c r="F26" s="147">
        <f>'Приложение 2 -ТЭО'!Q95</f>
        <v>0</v>
      </c>
      <c r="G26" s="147">
        <f>'Приложение 2 -ТЭО'!V95</f>
        <v>0</v>
      </c>
      <c r="H26" s="147"/>
      <c r="I26" s="147"/>
      <c r="J26" s="147">
        <f>'Приложение 2 -ТЭО'!AA95</f>
        <v>0</v>
      </c>
      <c r="K26" s="147"/>
      <c r="L26" s="147"/>
      <c r="M26" s="147">
        <f>'Приложение 2 -ТЭО'!AF95</f>
        <v>0</v>
      </c>
      <c r="N26" s="147"/>
      <c r="O26" s="147"/>
      <c r="P26" s="147">
        <f>'Приложение 2 -ТЭО'!AK95</f>
        <v>0</v>
      </c>
      <c r="Q26" s="147">
        <v>0</v>
      </c>
      <c r="R26" s="147">
        <f>'Приложение 2 -ТЭО'!AM95</f>
        <v>0</v>
      </c>
      <c r="S26" s="147">
        <v>0</v>
      </c>
    </row>
    <row r="27" spans="2:19" ht="33" x14ac:dyDescent="0.25">
      <c r="B27" s="215"/>
      <c r="C27" s="153" t="s">
        <v>31</v>
      </c>
      <c r="D27" s="147">
        <f>SUM(E27:S27)</f>
        <v>25638.300000000003</v>
      </c>
      <c r="E27" s="147">
        <f>'Приложение 2 -ТЭО'!M95</f>
        <v>2129.9</v>
      </c>
      <c r="F27" s="147">
        <f>'Приложение 2 -ТЭО'!R95</f>
        <v>2423</v>
      </c>
      <c r="G27" s="147">
        <f>'Приложение 2 -ТЭО'!W95</f>
        <v>3043.7</v>
      </c>
      <c r="H27" s="147"/>
      <c r="I27" s="147"/>
      <c r="J27" s="147">
        <f>'Приложение 2 -ТЭО'!AB95</f>
        <v>2549.2000000000003</v>
      </c>
      <c r="K27" s="147"/>
      <c r="L27" s="147"/>
      <c r="M27" s="147">
        <f>'Приложение 2 -ТЭО'!AG95</f>
        <v>3191.4</v>
      </c>
      <c r="N27" s="147"/>
      <c r="O27" s="147"/>
      <c r="P27" s="147">
        <f>'Приложение 2 -ТЭО'!AL95</f>
        <v>3121.8</v>
      </c>
      <c r="Q27" s="147">
        <f>'Приложение 2 -ТЭО'!AQ95</f>
        <v>3021.2</v>
      </c>
      <c r="R27" s="147">
        <f>'Приложение 2 -ТЭО'!AV95</f>
        <v>3018.7</v>
      </c>
      <c r="S27" s="147">
        <f>'Приложение 2 -ТЭО'!BA95</f>
        <v>3139.4</v>
      </c>
    </row>
    <row r="28" spans="2:19" ht="33" customHeight="1" x14ac:dyDescent="0.25">
      <c r="B28" s="215"/>
      <c r="C28" s="153" t="s">
        <v>172</v>
      </c>
      <c r="D28" s="147">
        <f t="shared" si="12"/>
        <v>0</v>
      </c>
      <c r="E28" s="147">
        <f>'Приложение 2 -ТЭО'!N95</f>
        <v>0</v>
      </c>
      <c r="F28" s="147">
        <f>'Приложение 2 -ТЭО'!S95</f>
        <v>0</v>
      </c>
      <c r="G28" s="147">
        <f>'Приложение 2 -ТЭО'!X95</f>
        <v>0</v>
      </c>
      <c r="H28" s="147"/>
      <c r="I28" s="147"/>
      <c r="J28" s="147">
        <f>'Приложение 2 -ТЭО'!AC95</f>
        <v>0</v>
      </c>
      <c r="K28" s="147"/>
      <c r="L28" s="147"/>
      <c r="M28" s="147">
        <f>'Приложение 2 -ТЭО'!AH95</f>
        <v>0</v>
      </c>
      <c r="N28" s="147"/>
      <c r="O28" s="147"/>
      <c r="P28" s="147">
        <f>'Приложение 2 -ТЭО'!AM95</f>
        <v>0</v>
      </c>
      <c r="Q28" s="147">
        <v>0</v>
      </c>
      <c r="R28" s="147">
        <f>'Приложение 2 -ТЭО'!AO95</f>
        <v>0</v>
      </c>
      <c r="S28" s="147">
        <f>'Приложение 2 -ТЭО'!AP95</f>
        <v>0</v>
      </c>
    </row>
    <row r="29" spans="2:19" ht="34.5" customHeight="1" x14ac:dyDescent="0.25">
      <c r="B29" s="215" t="s">
        <v>19</v>
      </c>
      <c r="C29" s="145" t="s">
        <v>170</v>
      </c>
      <c r="D29" s="146">
        <f t="shared" ref="D29:S29" si="13">SUM(D30:D32)</f>
        <v>16138.9</v>
      </c>
      <c r="E29" s="146">
        <f t="shared" si="13"/>
        <v>2183.7000000000003</v>
      </c>
      <c r="F29" s="146">
        <f t="shared" si="13"/>
        <v>1341.2</v>
      </c>
      <c r="G29" s="146">
        <f t="shared" si="13"/>
        <v>4597.6000000000004</v>
      </c>
      <c r="H29" s="146">
        <f t="shared" si="13"/>
        <v>0</v>
      </c>
      <c r="I29" s="146">
        <f t="shared" si="13"/>
        <v>0</v>
      </c>
      <c r="J29" s="146">
        <f t="shared" si="13"/>
        <v>990</v>
      </c>
      <c r="K29" s="146">
        <f t="shared" si="13"/>
        <v>0</v>
      </c>
      <c r="L29" s="146">
        <f t="shared" si="13"/>
        <v>0</v>
      </c>
      <c r="M29" s="146">
        <f t="shared" si="13"/>
        <v>1889.3</v>
      </c>
      <c r="N29" s="146">
        <f t="shared" si="13"/>
        <v>0</v>
      </c>
      <c r="O29" s="146">
        <f t="shared" si="13"/>
        <v>0</v>
      </c>
      <c r="P29" s="146">
        <f t="shared" si="13"/>
        <v>985.19999999999993</v>
      </c>
      <c r="Q29" s="146">
        <f t="shared" si="13"/>
        <v>1692.1000000000001</v>
      </c>
      <c r="R29" s="146">
        <f t="shared" si="13"/>
        <v>1212.4000000000001</v>
      </c>
      <c r="S29" s="146">
        <f t="shared" si="13"/>
        <v>1247.4000000000001</v>
      </c>
    </row>
    <row r="30" spans="2:19" ht="35.25" customHeight="1" x14ac:dyDescent="0.25">
      <c r="B30" s="215"/>
      <c r="C30" s="153" t="s">
        <v>30</v>
      </c>
      <c r="D30" s="147">
        <f t="shared" ref="D30:D32" si="14">SUM(E30:P30)</f>
        <v>0</v>
      </c>
      <c r="E30" s="147">
        <f>'Приложение 2 -ТЭО'!L101</f>
        <v>0</v>
      </c>
      <c r="F30" s="147">
        <f>'Приложение 2 -ТЭО'!Q101</f>
        <v>0</v>
      </c>
      <c r="G30" s="147">
        <f>'Приложение 2 -ТЭО'!V101</f>
        <v>0</v>
      </c>
      <c r="H30" s="147"/>
      <c r="I30" s="147"/>
      <c r="J30" s="147">
        <f>'Приложение 2 -ТЭО'!AA101</f>
        <v>0</v>
      </c>
      <c r="K30" s="147"/>
      <c r="L30" s="147"/>
      <c r="M30" s="147">
        <f>'Приложение 2 -ТЭО'!AF101</f>
        <v>0</v>
      </c>
      <c r="N30" s="147"/>
      <c r="O30" s="147"/>
      <c r="P30" s="147">
        <f>'Приложение 2 -ТЭО'!AK101</f>
        <v>0</v>
      </c>
      <c r="Q30" s="147">
        <v>0</v>
      </c>
      <c r="R30" s="147">
        <f>'Приложение 2 -ТЭО'!AM101</f>
        <v>0</v>
      </c>
      <c r="S30" s="147">
        <v>0</v>
      </c>
    </row>
    <row r="31" spans="2:19" ht="35.25" customHeight="1" x14ac:dyDescent="0.25">
      <c r="B31" s="215"/>
      <c r="C31" s="153" t="s">
        <v>31</v>
      </c>
      <c r="D31" s="147">
        <f>SUM(E31:S31)</f>
        <v>16138.9</v>
      </c>
      <c r="E31" s="147">
        <f>'Приложение 2 -ТЭО'!M101</f>
        <v>2183.7000000000003</v>
      </c>
      <c r="F31" s="147">
        <f>'Приложение 2 -ТЭО'!R101</f>
        <v>1341.2</v>
      </c>
      <c r="G31" s="147">
        <f>'Приложение 2 -ТЭО'!W101</f>
        <v>4597.6000000000004</v>
      </c>
      <c r="H31" s="147"/>
      <c r="I31" s="147"/>
      <c r="J31" s="147">
        <f>'Приложение 2 -ТЭО'!AB101</f>
        <v>990</v>
      </c>
      <c r="K31" s="147"/>
      <c r="L31" s="147"/>
      <c r="M31" s="147">
        <f>'Приложение 2 -ТЭО'!AG101</f>
        <v>1889.3</v>
      </c>
      <c r="N31" s="147"/>
      <c r="O31" s="147"/>
      <c r="P31" s="147">
        <f>'Приложение 2 -ТЭО'!AL101</f>
        <v>985.19999999999993</v>
      </c>
      <c r="Q31" s="147">
        <f>'Приложение 2 -ТЭО'!AQ101</f>
        <v>1692.1000000000001</v>
      </c>
      <c r="R31" s="147">
        <f>'Приложение 2 -ТЭО'!AV101</f>
        <v>1212.4000000000001</v>
      </c>
      <c r="S31" s="147">
        <f>'Приложение 2 -ТЭО'!BA101</f>
        <v>1247.4000000000001</v>
      </c>
    </row>
    <row r="32" spans="2:19" ht="33" x14ac:dyDescent="0.25">
      <c r="B32" s="215"/>
      <c r="C32" s="153" t="s">
        <v>172</v>
      </c>
      <c r="D32" s="147">
        <f t="shared" si="14"/>
        <v>0</v>
      </c>
      <c r="E32" s="147">
        <f>'Приложение 2 -ТЭО'!N101</f>
        <v>0</v>
      </c>
      <c r="F32" s="147">
        <f>'Приложение 2 -ТЭО'!S101</f>
        <v>0</v>
      </c>
      <c r="G32" s="147">
        <f>'Приложение 2 -ТЭО'!X101</f>
        <v>0</v>
      </c>
      <c r="H32" s="147"/>
      <c r="I32" s="147"/>
      <c r="J32" s="147">
        <f>'Приложение 2 -ТЭО'!AC101</f>
        <v>0</v>
      </c>
      <c r="K32" s="147"/>
      <c r="L32" s="147"/>
      <c r="M32" s="147">
        <f>'Приложение 2 -ТЭО'!AH101</f>
        <v>0</v>
      </c>
      <c r="N32" s="147"/>
      <c r="O32" s="147"/>
      <c r="P32" s="147">
        <f>'Приложение 2 -ТЭО'!AM101</f>
        <v>0</v>
      </c>
      <c r="Q32" s="147">
        <v>0</v>
      </c>
      <c r="R32" s="147">
        <f>'Приложение 2 -ТЭО'!AO101</f>
        <v>0</v>
      </c>
      <c r="S32" s="147">
        <f>'Приложение 2 -ТЭО'!AP101</f>
        <v>0</v>
      </c>
    </row>
    <row r="33" spans="2:19" ht="33" customHeight="1" x14ac:dyDescent="0.25">
      <c r="B33" s="215" t="s">
        <v>160</v>
      </c>
      <c r="C33" s="145" t="s">
        <v>170</v>
      </c>
      <c r="D33" s="146">
        <f t="shared" ref="D33:S33" si="15">SUM(D34:D36)</f>
        <v>783626.70000000007</v>
      </c>
      <c r="E33" s="146">
        <f t="shared" si="15"/>
        <v>63336.800000000003</v>
      </c>
      <c r="F33" s="146">
        <f t="shared" si="15"/>
        <v>72607.100000000006</v>
      </c>
      <c r="G33" s="146">
        <f t="shared" si="15"/>
        <v>72917.399999999994</v>
      </c>
      <c r="H33" s="146">
        <f t="shared" si="15"/>
        <v>0</v>
      </c>
      <c r="I33" s="146">
        <f t="shared" si="15"/>
        <v>0</v>
      </c>
      <c r="J33" s="146">
        <f t="shared" si="15"/>
        <v>78825.5</v>
      </c>
      <c r="K33" s="146">
        <f t="shared" si="15"/>
        <v>0</v>
      </c>
      <c r="L33" s="146">
        <f t="shared" si="15"/>
        <v>0</v>
      </c>
      <c r="M33" s="146">
        <f t="shared" si="15"/>
        <v>86428.2</v>
      </c>
      <c r="N33" s="146">
        <f t="shared" si="15"/>
        <v>0</v>
      </c>
      <c r="O33" s="146">
        <f t="shared" si="15"/>
        <v>0</v>
      </c>
      <c r="P33" s="146">
        <f t="shared" si="15"/>
        <v>93079.3</v>
      </c>
      <c r="Q33" s="146">
        <f t="shared" si="15"/>
        <v>103182.3</v>
      </c>
      <c r="R33" s="146">
        <f t="shared" si="15"/>
        <v>105141.2</v>
      </c>
      <c r="S33" s="146">
        <f t="shared" si="15"/>
        <v>108108.9</v>
      </c>
    </row>
    <row r="34" spans="2:19" ht="31.5" customHeight="1" x14ac:dyDescent="0.25">
      <c r="B34" s="215"/>
      <c r="C34" s="148" t="s">
        <v>30</v>
      </c>
      <c r="D34" s="147">
        <f t="shared" ref="D34:D36" si="16">SUM(E34:P34)</f>
        <v>0</v>
      </c>
      <c r="E34" s="147">
        <f>'Приложение 2 -ТЭО'!L111</f>
        <v>0</v>
      </c>
      <c r="F34" s="147">
        <f>'Приложение 2 -ТЭО'!Q111</f>
        <v>0</v>
      </c>
      <c r="G34" s="147">
        <f>'Приложение 2 -ТЭО'!V111</f>
        <v>0</v>
      </c>
      <c r="H34" s="147"/>
      <c r="I34" s="147"/>
      <c r="J34" s="147">
        <f>'Приложение 2 -ТЭО'!AA111</f>
        <v>0</v>
      </c>
      <c r="K34" s="147"/>
      <c r="L34" s="147"/>
      <c r="M34" s="147">
        <f>'Приложение 2 -ТЭО'!AF111</f>
        <v>0</v>
      </c>
      <c r="N34" s="147"/>
      <c r="O34" s="147"/>
      <c r="P34" s="147">
        <f>'Приложение 2 -ТЭО'!AK111</f>
        <v>0</v>
      </c>
      <c r="Q34" s="147">
        <v>0</v>
      </c>
      <c r="R34" s="147">
        <f>'Приложение 2 -ТЭО'!AM111</f>
        <v>0</v>
      </c>
      <c r="S34" s="147">
        <v>0</v>
      </c>
    </row>
    <row r="35" spans="2:19" ht="35.25" customHeight="1" x14ac:dyDescent="0.25">
      <c r="B35" s="215"/>
      <c r="C35" s="148" t="s">
        <v>31</v>
      </c>
      <c r="D35" s="147">
        <f>SUM(E35:S35)</f>
        <v>783626.70000000007</v>
      </c>
      <c r="E35" s="147">
        <f>'Приложение 2 -ТЭО'!M111</f>
        <v>63336.800000000003</v>
      </c>
      <c r="F35" s="147">
        <f>'Приложение 2 -ТЭО'!R111</f>
        <v>72607.100000000006</v>
      </c>
      <c r="G35" s="147">
        <f>'Приложение 2 -ТЭО'!W111</f>
        <v>72917.399999999994</v>
      </c>
      <c r="H35" s="147"/>
      <c r="I35" s="147"/>
      <c r="J35" s="147">
        <f>'Приложение 2 -ТЭО'!AB111</f>
        <v>78825.5</v>
      </c>
      <c r="K35" s="147"/>
      <c r="L35" s="147"/>
      <c r="M35" s="147">
        <f>'Приложение 2 -ТЭО'!AG111</f>
        <v>86428.2</v>
      </c>
      <c r="N35" s="147"/>
      <c r="O35" s="147"/>
      <c r="P35" s="147">
        <f>'Приложение 2 -ТЭО'!AL111</f>
        <v>93079.3</v>
      </c>
      <c r="Q35" s="147">
        <f>'Приложение 2 -ТЭО'!AQ111</f>
        <v>103182.3</v>
      </c>
      <c r="R35" s="147">
        <f>'Приложение 2 -ТЭО'!AV111</f>
        <v>105141.2</v>
      </c>
      <c r="S35" s="147">
        <f>'Приложение 2 -ТЭО'!BA111</f>
        <v>108108.9</v>
      </c>
    </row>
    <row r="36" spans="2:19" ht="35.25" customHeight="1" x14ac:dyDescent="0.25">
      <c r="B36" s="215"/>
      <c r="C36" s="148" t="s">
        <v>172</v>
      </c>
      <c r="D36" s="147">
        <f t="shared" si="16"/>
        <v>0</v>
      </c>
      <c r="E36" s="147">
        <f>'Приложение 2 -ТЭО'!N111</f>
        <v>0</v>
      </c>
      <c r="F36" s="147">
        <f>'Приложение 2 -ТЭО'!S111</f>
        <v>0</v>
      </c>
      <c r="G36" s="147">
        <f>'Приложение 2 -ТЭО'!X111</f>
        <v>0</v>
      </c>
      <c r="H36" s="147"/>
      <c r="I36" s="147"/>
      <c r="J36" s="147">
        <f>'Приложение 2 -ТЭО'!AC111</f>
        <v>0</v>
      </c>
      <c r="K36" s="147"/>
      <c r="L36" s="147"/>
      <c r="M36" s="147">
        <f>'Приложение 2 -ТЭО'!AH111</f>
        <v>0</v>
      </c>
      <c r="N36" s="147"/>
      <c r="O36" s="147"/>
      <c r="P36" s="147">
        <f>'Приложение 2 -ТЭО'!AM111</f>
        <v>0</v>
      </c>
      <c r="Q36" s="147">
        <v>0</v>
      </c>
      <c r="R36" s="147">
        <f>'Приложение 2 -ТЭО'!AO111</f>
        <v>0</v>
      </c>
      <c r="S36" s="147">
        <f>'Приложение 2 -ТЭО'!AP111</f>
        <v>0</v>
      </c>
    </row>
    <row r="37" spans="2:19" x14ac:dyDescent="0.25">
      <c r="B37" s="159"/>
    </row>
    <row r="38" spans="2:19" ht="33" customHeight="1" x14ac:dyDescent="0.25">
      <c r="B38" s="160"/>
      <c r="G38" s="161"/>
      <c r="H38" s="162"/>
      <c r="L38" s="162"/>
    </row>
    <row r="39" spans="2:19" ht="38.25" customHeight="1" x14ac:dyDescent="0.25">
      <c r="G39" s="161"/>
      <c r="H39" s="162"/>
      <c r="L39" s="162"/>
    </row>
    <row r="40" spans="2:19" ht="35.25" customHeight="1" x14ac:dyDescent="0.25">
      <c r="B40" s="160"/>
      <c r="G40" s="161"/>
      <c r="H40" s="162"/>
      <c r="L40" s="162"/>
    </row>
    <row r="41" spans="2:19" ht="35.25" customHeight="1" x14ac:dyDescent="0.25">
      <c r="B41" s="160"/>
      <c r="C41" s="142"/>
      <c r="D41" s="142"/>
      <c r="E41" s="142"/>
      <c r="F41" s="142"/>
      <c r="G41" s="142"/>
      <c r="H41" s="142"/>
      <c r="I41" s="142"/>
      <c r="J41" s="142"/>
      <c r="K41" s="142"/>
      <c r="L41" s="142">
        <f>L38-L9</f>
        <v>0</v>
      </c>
      <c r="M41" s="142"/>
      <c r="N41" s="142"/>
      <c r="O41" s="142"/>
      <c r="P41" s="142"/>
      <c r="Q41" s="142"/>
      <c r="R41" s="142"/>
      <c r="S41" s="142"/>
    </row>
    <row r="42" spans="2:19" ht="30" customHeight="1" x14ac:dyDescent="0.25">
      <c r="B42" s="160"/>
      <c r="G42" s="161"/>
      <c r="H42" s="162"/>
      <c r="L42" s="162"/>
    </row>
    <row r="43" spans="2:19" ht="33" customHeight="1" x14ac:dyDescent="0.25">
      <c r="B43" s="160"/>
      <c r="G43" s="161"/>
      <c r="H43" s="162"/>
      <c r="L43" s="162"/>
    </row>
  </sheetData>
  <mergeCells count="14">
    <mergeCell ref="B17:B20"/>
    <mergeCell ref="B21:B24"/>
    <mergeCell ref="B25:B28"/>
    <mergeCell ref="B29:B32"/>
    <mergeCell ref="B33:B36"/>
    <mergeCell ref="B9:B12"/>
    <mergeCell ref="B13:B16"/>
    <mergeCell ref="B3:S3"/>
    <mergeCell ref="Q1:S1"/>
    <mergeCell ref="D6:D7"/>
    <mergeCell ref="B5:B7"/>
    <mergeCell ref="C5:C7"/>
    <mergeCell ref="D5:S5"/>
    <mergeCell ref="E6:S6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220" t="s">
        <v>150</v>
      </c>
      <c r="P1" s="220"/>
      <c r="Q1" s="220"/>
      <c r="R1" s="220"/>
      <c r="S1" s="220"/>
      <c r="T1" s="220"/>
    </row>
    <row r="4" spans="1:24" ht="72.75" customHeight="1" x14ac:dyDescent="0.25">
      <c r="A4" s="13" t="s">
        <v>2</v>
      </c>
      <c r="B4" s="14" t="s">
        <v>174</v>
      </c>
      <c r="C4" s="13" t="s">
        <v>4</v>
      </c>
      <c r="D4" s="14" t="s">
        <v>175</v>
      </c>
      <c r="E4" s="14" t="s">
        <v>176</v>
      </c>
      <c r="F4" s="15" t="s">
        <v>177</v>
      </c>
      <c r="G4" s="15" t="s">
        <v>178</v>
      </c>
      <c r="H4" s="15" t="s">
        <v>179</v>
      </c>
      <c r="I4" s="15" t="s">
        <v>180</v>
      </c>
      <c r="J4" s="15"/>
      <c r="K4" s="15" t="s">
        <v>181</v>
      </c>
      <c r="L4" s="16"/>
      <c r="M4" s="16">
        <v>2019</v>
      </c>
      <c r="N4" s="16" t="s">
        <v>182</v>
      </c>
      <c r="O4" s="16" t="s">
        <v>180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21</v>
      </c>
      <c r="B6" s="221" t="s">
        <v>183</v>
      </c>
      <c r="C6" s="21" t="s">
        <v>15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38</v>
      </c>
      <c r="B7" s="221"/>
      <c r="C7" s="25" t="s">
        <v>66</v>
      </c>
      <c r="D7" s="221" t="s">
        <v>184</v>
      </c>
      <c r="E7" s="26" t="s">
        <v>185</v>
      </c>
      <c r="F7" s="16" t="s">
        <v>186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39</v>
      </c>
      <c r="B8" s="221"/>
      <c r="C8" s="25" t="s">
        <v>10</v>
      </c>
      <c r="D8" s="221"/>
      <c r="E8" s="26" t="s">
        <v>187</v>
      </c>
      <c r="F8" s="16" t="s">
        <v>186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40</v>
      </c>
      <c r="B9" s="221"/>
      <c r="C9" s="25" t="s">
        <v>68</v>
      </c>
      <c r="D9" s="221"/>
      <c r="E9" s="26" t="s">
        <v>188</v>
      </c>
      <c r="F9" s="16" t="s">
        <v>186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22</v>
      </c>
      <c r="B10" s="221"/>
      <c r="C10" s="21" t="s">
        <v>16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41</v>
      </c>
      <c r="B11" s="221"/>
      <c r="C11" s="25" t="s">
        <v>66</v>
      </c>
      <c r="D11" s="221" t="s">
        <v>189</v>
      </c>
      <c r="E11" s="221" t="s">
        <v>190</v>
      </c>
      <c r="F11" s="222" t="s">
        <v>186</v>
      </c>
      <c r="G11" s="222">
        <f>(M11+M12+M13+M14)/M10*100</f>
        <v>100</v>
      </c>
      <c r="H11" s="223">
        <v>100</v>
      </c>
      <c r="I11" s="223">
        <v>100</v>
      </c>
      <c r="J11" s="31"/>
      <c r="K11" s="223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42</v>
      </c>
      <c r="B12" s="221"/>
      <c r="C12" s="25" t="s">
        <v>10</v>
      </c>
      <c r="D12" s="221"/>
      <c r="E12" s="221"/>
      <c r="F12" s="222"/>
      <c r="G12" s="222"/>
      <c r="H12" s="224"/>
      <c r="I12" s="224"/>
      <c r="J12" s="32"/>
      <c r="K12" s="224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43</v>
      </c>
      <c r="B13" s="221"/>
      <c r="C13" s="25" t="s">
        <v>68</v>
      </c>
      <c r="D13" s="221"/>
      <c r="E13" s="221"/>
      <c r="F13" s="222"/>
      <c r="G13" s="222"/>
      <c r="H13" s="224"/>
      <c r="I13" s="224"/>
      <c r="J13" s="32"/>
      <c r="K13" s="224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44</v>
      </c>
      <c r="B14" s="221"/>
      <c r="C14" s="25" t="s">
        <v>67</v>
      </c>
      <c r="D14" s="221"/>
      <c r="E14" s="221"/>
      <c r="F14" s="222"/>
      <c r="G14" s="222"/>
      <c r="H14" s="225"/>
      <c r="I14" s="225"/>
      <c r="J14" s="33"/>
      <c r="K14" s="225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23</v>
      </c>
      <c r="B15" s="221"/>
      <c r="C15" s="21" t="s">
        <v>191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45</v>
      </c>
      <c r="B16" s="221"/>
      <c r="C16" s="25" t="s">
        <v>66</v>
      </c>
      <c r="D16" s="226" t="s">
        <v>192</v>
      </c>
      <c r="E16" s="221" t="s">
        <v>193</v>
      </c>
      <c r="F16" s="221"/>
      <c r="G16" s="229">
        <f>M15/50*100</f>
        <v>30</v>
      </c>
      <c r="H16" s="229">
        <f>N15/43*100</f>
        <v>39.534883720930232</v>
      </c>
      <c r="I16" s="229">
        <f>O15/43*100</f>
        <v>34.883720930232556</v>
      </c>
      <c r="J16" s="34"/>
      <c r="K16" s="229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221" t="s">
        <v>194</v>
      </c>
      <c r="V16" s="221"/>
      <c r="W16" s="221"/>
      <c r="X16" s="221"/>
    </row>
    <row r="17" spans="1:25" ht="27" customHeight="1" outlineLevel="3" x14ac:dyDescent="0.25">
      <c r="A17" s="24" t="s">
        <v>46</v>
      </c>
      <c r="B17" s="221"/>
      <c r="C17" s="25" t="s">
        <v>10</v>
      </c>
      <c r="D17" s="227"/>
      <c r="E17" s="221"/>
      <c r="F17" s="222"/>
      <c r="G17" s="230"/>
      <c r="H17" s="230"/>
      <c r="I17" s="230"/>
      <c r="J17" s="35"/>
      <c r="K17" s="230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221"/>
      <c r="V17" s="221"/>
      <c r="W17" s="221"/>
      <c r="X17" s="221"/>
    </row>
    <row r="18" spans="1:25" ht="40.5" customHeight="1" outlineLevel="3" x14ac:dyDescent="0.25">
      <c r="A18" s="24" t="s">
        <v>47</v>
      </c>
      <c r="B18" s="221"/>
      <c r="C18" s="25" t="s">
        <v>68</v>
      </c>
      <c r="D18" s="227"/>
      <c r="E18" s="221"/>
      <c r="F18" s="222"/>
      <c r="G18" s="230"/>
      <c r="H18" s="230"/>
      <c r="I18" s="230"/>
      <c r="J18" s="35"/>
      <c r="K18" s="230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221"/>
      <c r="V18" s="221"/>
      <c r="W18" s="221"/>
      <c r="X18" s="221"/>
    </row>
    <row r="19" spans="1:25" ht="27.75" customHeight="1" outlineLevel="3" x14ac:dyDescent="0.25">
      <c r="A19" s="24" t="s">
        <v>48</v>
      </c>
      <c r="B19" s="221"/>
      <c r="C19" s="36" t="s">
        <v>67</v>
      </c>
      <c r="D19" s="227"/>
      <c r="E19" s="221"/>
      <c r="F19" s="222"/>
      <c r="G19" s="231"/>
      <c r="H19" s="231"/>
      <c r="I19" s="231"/>
      <c r="J19" s="37"/>
      <c r="K19" s="231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221"/>
      <c r="V19" s="221"/>
      <c r="W19" s="221"/>
      <c r="X19" s="221"/>
    </row>
    <row r="20" spans="1:25" ht="147.75" customHeight="1" outlineLevel="3" x14ac:dyDescent="0.25">
      <c r="A20" s="24"/>
      <c r="B20" s="221"/>
      <c r="C20" s="38"/>
      <c r="D20" s="228"/>
      <c r="E20" s="39" t="s">
        <v>195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232" t="s">
        <v>196</v>
      </c>
      <c r="V20" s="233"/>
      <c r="W20" s="233"/>
      <c r="X20" s="233"/>
    </row>
    <row r="21" spans="1:25" ht="22.5" customHeight="1" outlineLevel="3" x14ac:dyDescent="0.25">
      <c r="A21" s="24" t="s">
        <v>45</v>
      </c>
      <c r="B21" s="221"/>
      <c r="C21" s="25" t="s">
        <v>66</v>
      </c>
      <c r="D21" s="40"/>
      <c r="E21" s="221" t="s">
        <v>193</v>
      </c>
      <c r="F21" s="221"/>
      <c r="G21" s="229">
        <f>M20/50*100</f>
        <v>2</v>
      </c>
      <c r="H21" s="229">
        <f>N20/43*100</f>
        <v>2.3255813953488373</v>
      </c>
      <c r="I21" s="34"/>
      <c r="J21" s="34"/>
      <c r="K21" s="229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221" t="s">
        <v>194</v>
      </c>
      <c r="V21" s="221"/>
      <c r="W21" s="221"/>
      <c r="X21" s="221"/>
    </row>
    <row r="22" spans="1:25" ht="27" customHeight="1" outlineLevel="3" x14ac:dyDescent="0.25">
      <c r="A22" s="24" t="s">
        <v>46</v>
      </c>
      <c r="B22" s="221"/>
      <c r="C22" s="25" t="s">
        <v>10</v>
      </c>
      <c r="D22" s="40"/>
      <c r="E22" s="221"/>
      <c r="F22" s="222"/>
      <c r="G22" s="230"/>
      <c r="H22" s="230"/>
      <c r="I22" s="35"/>
      <c r="J22" s="35"/>
      <c r="K22" s="230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221"/>
      <c r="V22" s="221"/>
      <c r="W22" s="221"/>
      <c r="X22" s="221"/>
    </row>
    <row r="23" spans="1:25" ht="40.5" customHeight="1" outlineLevel="3" x14ac:dyDescent="0.25">
      <c r="A23" s="24" t="s">
        <v>47</v>
      </c>
      <c r="B23" s="221"/>
      <c r="C23" s="25" t="s">
        <v>68</v>
      </c>
      <c r="D23" s="40"/>
      <c r="E23" s="221"/>
      <c r="F23" s="222"/>
      <c r="G23" s="230"/>
      <c r="H23" s="230"/>
      <c r="I23" s="35"/>
      <c r="J23" s="35"/>
      <c r="K23" s="230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221"/>
      <c r="V23" s="221"/>
      <c r="W23" s="221"/>
      <c r="X23" s="221"/>
    </row>
    <row r="24" spans="1:25" ht="27.75" customHeight="1" outlineLevel="3" x14ac:dyDescent="0.25">
      <c r="A24" s="24" t="s">
        <v>48</v>
      </c>
      <c r="B24" s="221"/>
      <c r="C24" s="36" t="s">
        <v>67</v>
      </c>
      <c r="D24" s="40"/>
      <c r="E24" s="221"/>
      <c r="F24" s="222"/>
      <c r="G24" s="231"/>
      <c r="H24" s="231"/>
      <c r="I24" s="37"/>
      <c r="J24" s="37"/>
      <c r="K24" s="231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221"/>
      <c r="V24" s="221"/>
      <c r="W24" s="221"/>
      <c r="X24" s="221"/>
    </row>
    <row r="25" spans="1:25" s="41" customFormat="1" ht="47.25" customHeight="1" outlineLevel="2" x14ac:dyDescent="0.25">
      <c r="A25" s="18" t="s">
        <v>59</v>
      </c>
      <c r="B25" s="221"/>
      <c r="C25" s="21" t="s">
        <v>197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61</v>
      </c>
      <c r="B26" s="221"/>
      <c r="C26" s="42" t="s">
        <v>65</v>
      </c>
      <c r="D26" s="221" t="s">
        <v>198</v>
      </c>
      <c r="E26" s="240" t="s">
        <v>199</v>
      </c>
      <c r="F26" s="222" t="s">
        <v>186</v>
      </c>
      <c r="G26" s="222">
        <v>100</v>
      </c>
      <c r="H26" s="223">
        <v>100</v>
      </c>
      <c r="I26" s="31"/>
      <c r="J26" s="31"/>
      <c r="K26" s="223">
        <v>100</v>
      </c>
      <c r="L26" s="222"/>
      <c r="M26" s="222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62</v>
      </c>
      <c r="B27" s="221"/>
      <c r="C27" s="25" t="s">
        <v>60</v>
      </c>
      <c r="D27" s="221"/>
      <c r="E27" s="240"/>
      <c r="F27" s="222"/>
      <c r="G27" s="222"/>
      <c r="H27" s="225"/>
      <c r="I27" s="33"/>
      <c r="J27" s="33"/>
      <c r="K27" s="225"/>
      <c r="L27" s="222"/>
      <c r="M27" s="222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63</v>
      </c>
      <c r="B28" s="221"/>
      <c r="C28" s="25" t="s">
        <v>64</v>
      </c>
      <c r="D28" s="26" t="s">
        <v>200</v>
      </c>
      <c r="E28" s="26" t="s">
        <v>201</v>
      </c>
      <c r="F28" s="16" t="s">
        <v>202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236" t="s">
        <v>203</v>
      </c>
      <c r="V28" s="237"/>
      <c r="W28" s="237"/>
      <c r="X28" s="237"/>
    </row>
    <row r="29" spans="1:25" s="20" customFormat="1" ht="47.25" customHeight="1" outlineLevel="1" x14ac:dyDescent="0.25">
      <c r="A29" s="43">
        <v>2</v>
      </c>
      <c r="B29" s="226" t="s">
        <v>204</v>
      </c>
      <c r="C29" s="44" t="s">
        <v>37</v>
      </c>
      <c r="D29" s="226" t="s">
        <v>205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227"/>
      <c r="C30" s="46" t="s">
        <v>281</v>
      </c>
      <c r="D30" s="227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227"/>
      <c r="C31" s="46" t="s">
        <v>283</v>
      </c>
      <c r="D31" s="227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238" t="s">
        <v>330</v>
      </c>
      <c r="V31" s="239"/>
      <c r="W31" s="239"/>
      <c r="X31" s="239"/>
    </row>
    <row r="32" spans="1:25" s="45" customFormat="1" ht="60.75" thickBot="1" x14ac:dyDescent="0.3">
      <c r="B32" s="227"/>
      <c r="C32" s="46" t="s">
        <v>284</v>
      </c>
      <c r="D32" s="227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238" t="s">
        <v>328</v>
      </c>
      <c r="V32" s="239"/>
      <c r="W32" s="239"/>
      <c r="X32" s="239"/>
      <c r="Y32" s="45" t="s">
        <v>329</v>
      </c>
    </row>
    <row r="33" spans="1:27" ht="45" outlineLevel="3" x14ac:dyDescent="0.25">
      <c r="A33" s="24" t="s">
        <v>49</v>
      </c>
      <c r="B33" s="227"/>
      <c r="C33" s="25" t="s">
        <v>206</v>
      </c>
      <c r="D33" s="227"/>
      <c r="E33" s="50" t="s">
        <v>207</v>
      </c>
      <c r="F33" s="16" t="s">
        <v>208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236" t="s">
        <v>209</v>
      </c>
      <c r="V33" s="237"/>
      <c r="W33" s="237"/>
      <c r="X33" s="237"/>
    </row>
    <row r="34" spans="1:27" ht="60" outlineLevel="3" x14ac:dyDescent="0.25">
      <c r="A34" s="24" t="s">
        <v>50</v>
      </c>
      <c r="B34" s="227"/>
      <c r="C34" s="25" t="s">
        <v>20</v>
      </c>
      <c r="D34" s="227"/>
      <c r="E34" s="50" t="s">
        <v>210</v>
      </c>
      <c r="F34" s="16" t="s">
        <v>211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212</v>
      </c>
      <c r="B35" s="227"/>
      <c r="C35" s="25" t="s">
        <v>213</v>
      </c>
      <c r="D35" s="227"/>
      <c r="E35" s="226" t="s">
        <v>214</v>
      </c>
      <c r="F35" s="223" t="s">
        <v>215</v>
      </c>
      <c r="G35" s="223">
        <v>6</v>
      </c>
      <c r="H35" s="223">
        <v>1</v>
      </c>
      <c r="I35" s="31"/>
      <c r="J35" s="31"/>
      <c r="K35" s="223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234" t="s">
        <v>216</v>
      </c>
      <c r="V35" s="235"/>
      <c r="W35" s="235"/>
      <c r="X35" s="235"/>
      <c r="Y35" s="235" t="s">
        <v>333</v>
      </c>
      <c r="Z35" s="235"/>
      <c r="AA35" s="235"/>
    </row>
    <row r="36" spans="1:27" ht="60" outlineLevel="3" x14ac:dyDescent="0.25">
      <c r="A36" s="24"/>
      <c r="B36" s="228"/>
      <c r="C36" s="25" t="s">
        <v>217</v>
      </c>
      <c r="D36" s="228"/>
      <c r="E36" s="228"/>
      <c r="F36" s="225"/>
      <c r="G36" s="225"/>
      <c r="H36" s="225"/>
      <c r="I36" s="33"/>
      <c r="J36" s="33"/>
      <c r="K36" s="225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221" t="s">
        <v>218</v>
      </c>
      <c r="C37" s="51" t="s">
        <v>17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51</v>
      </c>
      <c r="B38" s="221"/>
      <c r="C38" s="2" t="s">
        <v>11</v>
      </c>
      <c r="D38" s="26" t="s">
        <v>219</v>
      </c>
      <c r="E38" s="52" t="s">
        <v>220</v>
      </c>
      <c r="F38" s="16" t="s">
        <v>186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52</v>
      </c>
      <c r="B39" s="221"/>
      <c r="C39" s="2" t="s">
        <v>12</v>
      </c>
      <c r="D39" s="26" t="s">
        <v>221</v>
      </c>
      <c r="E39" s="52" t="s">
        <v>222</v>
      </c>
      <c r="F39" s="16" t="s">
        <v>223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221" t="s">
        <v>224</v>
      </c>
      <c r="C40" s="51" t="s">
        <v>18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53</v>
      </c>
      <c r="B41" s="221"/>
      <c r="C41" s="241" t="s">
        <v>13</v>
      </c>
      <c r="D41" s="242" t="s">
        <v>225</v>
      </c>
      <c r="E41" s="52" t="s">
        <v>226</v>
      </c>
      <c r="F41" s="16" t="s">
        <v>227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221"/>
      <c r="C42" s="241"/>
      <c r="D42" s="242"/>
      <c r="E42" s="52" t="s">
        <v>228</v>
      </c>
      <c r="F42" s="16" t="s">
        <v>227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54</v>
      </c>
      <c r="B43" s="221"/>
      <c r="C43" s="2" t="s">
        <v>14</v>
      </c>
      <c r="D43" s="243" t="s">
        <v>229</v>
      </c>
      <c r="E43" s="52" t="s">
        <v>230</v>
      </c>
      <c r="F43" s="16" t="s">
        <v>227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55</v>
      </c>
      <c r="B44" s="221"/>
      <c r="C44" s="241" t="s">
        <v>84</v>
      </c>
      <c r="D44" s="243"/>
      <c r="E44" s="53" t="s">
        <v>231</v>
      </c>
      <c r="F44" s="16" t="s">
        <v>227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221"/>
      <c r="C45" s="241"/>
      <c r="D45" s="243"/>
      <c r="E45" s="54" t="s">
        <v>232</v>
      </c>
      <c r="F45" s="16" t="s">
        <v>227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223" t="s">
        <v>56</v>
      </c>
      <c r="B46" s="221"/>
      <c r="C46" s="241" t="s">
        <v>85</v>
      </c>
      <c r="D46" s="243"/>
      <c r="E46" s="39" t="s">
        <v>233</v>
      </c>
      <c r="F46" s="16" t="s">
        <v>234</v>
      </c>
      <c r="G46" s="16" t="s">
        <v>235</v>
      </c>
      <c r="H46" s="16" t="s">
        <v>235</v>
      </c>
      <c r="I46" s="16"/>
      <c r="J46" s="16"/>
      <c r="K46" s="16" t="s">
        <v>235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225"/>
      <c r="B47" s="221"/>
      <c r="C47" s="241"/>
      <c r="D47" s="243"/>
      <c r="E47" s="39" t="s">
        <v>236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226" t="s">
        <v>237</v>
      </c>
      <c r="C48" s="51" t="s">
        <v>19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24</v>
      </c>
      <c r="B49" s="227"/>
      <c r="C49" s="2" t="s">
        <v>79</v>
      </c>
      <c r="D49" s="226" t="s">
        <v>238</v>
      </c>
      <c r="E49" s="221" t="s">
        <v>239</v>
      </c>
      <c r="F49" s="222" t="s">
        <v>240</v>
      </c>
      <c r="G49" s="222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25</v>
      </c>
      <c r="B50" s="227"/>
      <c r="C50" s="2" t="s">
        <v>80</v>
      </c>
      <c r="D50" s="227"/>
      <c r="E50" s="221"/>
      <c r="F50" s="222"/>
      <c r="G50" s="222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26</v>
      </c>
      <c r="B51" s="227"/>
      <c r="C51" s="2" t="s">
        <v>81</v>
      </c>
      <c r="D51" s="227"/>
      <c r="E51" s="221"/>
      <c r="F51" s="222"/>
      <c r="G51" s="222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27</v>
      </c>
      <c r="B52" s="227"/>
      <c r="C52" s="2" t="s">
        <v>82</v>
      </c>
      <c r="D52" s="227"/>
      <c r="E52" s="221"/>
      <c r="F52" s="222"/>
      <c r="G52" s="222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28</v>
      </c>
      <c r="B53" s="227"/>
      <c r="C53" s="2" t="s">
        <v>83</v>
      </c>
      <c r="D53" s="228"/>
      <c r="E53" s="221"/>
      <c r="F53" s="222"/>
      <c r="G53" s="222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227"/>
      <c r="C54" s="3" t="s">
        <v>241</v>
      </c>
      <c r="D54" s="226" t="s">
        <v>241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227"/>
      <c r="C55" s="1" t="s">
        <v>242</v>
      </c>
      <c r="D55" s="227"/>
      <c r="E55" s="39" t="s">
        <v>243</v>
      </c>
      <c r="F55" s="24" t="s">
        <v>244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228"/>
      <c r="C56" s="1" t="s">
        <v>245</v>
      </c>
      <c r="D56" s="228"/>
      <c r="E56" s="39" t="s">
        <v>246</v>
      </c>
      <c r="F56" s="24" t="s">
        <v>244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331</v>
      </c>
      <c r="V56" s="57" t="s">
        <v>332</v>
      </c>
    </row>
    <row r="57" spans="1:22" s="20" customFormat="1" ht="64.5" customHeight="1" outlineLevel="1" x14ac:dyDescent="0.25">
      <c r="A57" s="18">
        <v>6</v>
      </c>
      <c r="B57" s="221" t="s">
        <v>247</v>
      </c>
      <c r="C57" s="51" t="s">
        <v>248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244" t="s">
        <v>33</v>
      </c>
      <c r="B58" s="221"/>
      <c r="C58" s="245" t="s">
        <v>249</v>
      </c>
      <c r="D58" s="221" t="s">
        <v>250</v>
      </c>
      <c r="E58" s="39" t="s">
        <v>251</v>
      </c>
      <c r="F58" s="26" t="s">
        <v>252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244"/>
      <c r="B59" s="221"/>
      <c r="C59" s="245"/>
      <c r="D59" s="221"/>
      <c r="E59" s="39" t="s">
        <v>253</v>
      </c>
      <c r="F59" s="26" t="s">
        <v>254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34</v>
      </c>
      <c r="B60" s="221"/>
      <c r="C60" s="58" t="s">
        <v>57</v>
      </c>
      <c r="D60" s="26" t="s">
        <v>255</v>
      </c>
      <c r="E60" s="39" t="s">
        <v>256</v>
      </c>
      <c r="F60" s="26" t="s">
        <v>186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35</v>
      </c>
      <c r="B61" s="221"/>
      <c r="C61" s="58" t="s">
        <v>58</v>
      </c>
      <c r="D61" s="26" t="s">
        <v>257</v>
      </c>
      <c r="E61" s="39" t="s">
        <v>258</v>
      </c>
      <c r="F61" s="26" t="s">
        <v>259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Приложение 1</vt:lpstr>
      <vt:lpstr>Приложение 1 (2)</vt:lpstr>
      <vt:lpstr>Приложение 2 -ТЭО</vt:lpstr>
      <vt:lpstr>Приложение 3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'Приложение 3'!Область_печати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2024-02-02T08:27:13Z</dcterms:modified>
</cp:coreProperties>
</file>